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autoCompressPictures="0" defaultThemeVersion="124226"/>
  <bookViews>
    <workbookView xWindow="0" yWindow="0" windowWidth="19420" windowHeight="8620" tabRatio="775"/>
  </bookViews>
  <sheets>
    <sheet name="Totals and Awards" sheetId="13" r:id="rId1"/>
    <sheet name="Paper" sheetId="1" r:id="rId2"/>
    <sheet name="Static" sheetId="2" r:id="rId3"/>
    <sheet name="MSRP" sheetId="3" r:id="rId4"/>
    <sheet name="Subjective Handling " sheetId="14" r:id="rId5"/>
    <sheet name="Fuel Economy-Endurance  " sheetId="4" r:id="rId6"/>
    <sheet name="Noise" sheetId="6" r:id="rId7"/>
    <sheet name="Oral" sheetId="5" r:id="rId8"/>
    <sheet name="Acceleration" sheetId="7" r:id="rId9"/>
    <sheet name="Lab Emissions" sheetId="18" r:id="rId10"/>
    <sheet name="In Service Emissions" sheetId="19" r:id="rId11"/>
    <sheet name="Cold Start" sheetId="10" r:id="rId12"/>
    <sheet name="Objective Handling" sheetId="11" r:id="rId13"/>
    <sheet name="Penalties and Bonuses" sheetId="12" r:id="rId14"/>
    <sheet name="Vehicle Weights" sheetId="15" r:id="rId15"/>
  </sheets>
  <definedNames>
    <definedName name="Bmax">'Lab Emissions'!#REF!</definedName>
    <definedName name="Bmin">'Lab Emissions'!#REF!</definedName>
    <definedName name="Emax">'Lab Emissions'!#REF!</definedName>
    <definedName name="Emin">'Lab Emissions'!#REF!</definedName>
    <definedName name="_xlnm.Print_Area" localSheetId="8">Acceleration!$A$1:$I$17</definedName>
    <definedName name="_xlnm.Print_Area" localSheetId="5">'Fuel Economy-Endurance  '!$A$9:$I$22</definedName>
    <definedName name="_xlnm.Print_Area" localSheetId="12">'Objective Handling'!$A$1:$H$18</definedName>
    <definedName name="_xlnm.Print_Area" localSheetId="0">'Totals and Awards'!$B$1:$P$55</definedName>
    <definedName name="_xlnm.Print_Area" localSheetId="14">'Vehicle Weights'!$A$1:$I$16</definedName>
  </definedNames>
  <calcPr calcId="125725"/>
</workbook>
</file>

<file path=xl/calcChain.xml><?xml version="1.0" encoding="utf-8"?>
<calcChain xmlns="http://schemas.openxmlformats.org/spreadsheetml/2006/main">
  <c r="L5" i="12"/>
  <c r="L6"/>
  <c r="L7"/>
  <c r="L8"/>
  <c r="L9"/>
  <c r="L10"/>
  <c r="L11"/>
  <c r="L12"/>
  <c r="L13"/>
  <c r="L14"/>
  <c r="L15"/>
  <c r="L16"/>
  <c r="L17"/>
  <c r="O5" i="7"/>
  <c r="C37" i="13"/>
  <c r="D55" i="1"/>
  <c r="E55"/>
  <c r="F55"/>
  <c r="G55"/>
  <c r="H55"/>
  <c r="I55"/>
  <c r="J55"/>
  <c r="K55"/>
  <c r="L55"/>
  <c r="M55"/>
  <c r="N55"/>
  <c r="O55"/>
  <c r="P55"/>
  <c r="C55"/>
  <c r="D57" l="1"/>
  <c r="E57"/>
  <c r="F57"/>
  <c r="G57"/>
  <c r="H57"/>
  <c r="I57"/>
  <c r="J57"/>
  <c r="K57"/>
  <c r="L57"/>
  <c r="M57"/>
  <c r="N57"/>
  <c r="O57"/>
  <c r="P57"/>
  <c r="C57"/>
  <c r="L4" i="12" l="1"/>
  <c r="M6" i="11" l="1"/>
  <c r="E6" i="7"/>
  <c r="E7"/>
  <c r="E8"/>
  <c r="E9"/>
  <c r="E10"/>
  <c r="E11"/>
  <c r="E12"/>
  <c r="E13"/>
  <c r="E14"/>
  <c r="E15"/>
  <c r="E16"/>
  <c r="E17"/>
  <c r="E18"/>
  <c r="E5"/>
  <c r="C20" i="18" l="1"/>
  <c r="C19"/>
  <c r="C22"/>
  <c r="C23"/>
  <c r="D5" i="10"/>
  <c r="D6"/>
  <c r="D7"/>
  <c r="D8"/>
  <c r="D9"/>
  <c r="D10"/>
  <c r="D11"/>
  <c r="D12"/>
  <c r="D13"/>
  <c r="D14"/>
  <c r="D15"/>
  <c r="D16"/>
  <c r="D17"/>
  <c r="D4"/>
  <c r="J5" i="6" l="1"/>
  <c r="H14" i="19" l="1"/>
  <c r="Q6" i="1" l="1"/>
  <c r="Q7"/>
  <c r="Q8"/>
  <c r="Q9"/>
  <c r="Q10"/>
  <c r="Q11"/>
  <c r="Q12"/>
  <c r="Q13"/>
  <c r="Q14"/>
  <c r="Q15"/>
  <c r="Q16"/>
  <c r="Q17"/>
  <c r="Q18"/>
  <c r="Q19"/>
  <c r="Q20"/>
  <c r="Q21"/>
  <c r="Q22"/>
  <c r="Q23"/>
  <c r="Q24"/>
  <c r="Q25"/>
  <c r="Q26"/>
  <c r="Q27"/>
  <c r="Q28"/>
  <c r="Q29"/>
  <c r="Q30"/>
  <c r="Q31"/>
  <c r="Q32"/>
  <c r="Q33"/>
  <c r="Q34"/>
  <c r="Q35"/>
  <c r="Q36"/>
  <c r="Q37"/>
  <c r="Q38"/>
  <c r="Q39"/>
  <c r="Q40"/>
  <c r="Q41"/>
  <c r="Q42"/>
  <c r="Q43"/>
  <c r="Q44"/>
  <c r="Q45"/>
  <c r="Q46"/>
  <c r="Q47"/>
  <c r="Q48"/>
  <c r="Q49"/>
  <c r="Q50"/>
  <c r="Q51"/>
  <c r="Q52"/>
  <c r="Q53"/>
  <c r="Q54"/>
  <c r="Q55"/>
  <c r="Q5"/>
  <c r="D6" i="6" l="1"/>
  <c r="D7"/>
  <c r="D8"/>
  <c r="D9"/>
  <c r="D10"/>
  <c r="D11"/>
  <c r="D12"/>
  <c r="D13"/>
  <c r="D14"/>
  <c r="D15"/>
  <c r="D16"/>
  <c r="D17"/>
  <c r="D18"/>
  <c r="D5"/>
  <c r="F3" i="4" l="1"/>
  <c r="F2"/>
  <c r="E13" l="1"/>
  <c r="E14"/>
  <c r="E16"/>
  <c r="E18"/>
  <c r="E20"/>
  <c r="E22"/>
  <c r="Q5" i="18"/>
  <c r="Q6"/>
  <c r="Q7"/>
  <c r="Q8"/>
  <c r="Q9"/>
  <c r="Q10"/>
  <c r="Q11"/>
  <c r="Q12"/>
  <c r="Q13"/>
  <c r="Q14"/>
  <c r="Q15"/>
  <c r="Q16"/>
  <c r="Q17"/>
  <c r="Q4"/>
  <c r="P17" i="13" l="1"/>
  <c r="P16"/>
  <c r="P15"/>
  <c r="O5"/>
  <c r="O10"/>
  <c r="O11"/>
  <c r="O13"/>
  <c r="O14"/>
  <c r="O17"/>
  <c r="O6"/>
  <c r="O7"/>
  <c r="O8"/>
  <c r="O9"/>
  <c r="O15"/>
  <c r="O16"/>
  <c r="J3" i="11" l="1"/>
  <c r="J2"/>
  <c r="F2" i="19"/>
  <c r="F1"/>
  <c r="F2" i="7"/>
  <c r="F3"/>
  <c r="C28" i="3"/>
  <c r="C27"/>
  <c r="H22" i="6"/>
  <c r="H21"/>
  <c r="H22" i="4" l="1"/>
  <c r="H20"/>
  <c r="H18"/>
  <c r="H16"/>
  <c r="H14"/>
  <c r="H13"/>
  <c r="S8" i="14" l="1"/>
  <c r="S12"/>
  <c r="R6"/>
  <c r="S6" s="1"/>
  <c r="R7"/>
  <c r="S7" s="1"/>
  <c r="R8"/>
  <c r="R10"/>
  <c r="S10" s="1"/>
  <c r="R12"/>
  <c r="R16"/>
  <c r="S16" s="1"/>
  <c r="J15" i="7"/>
  <c r="J7"/>
  <c r="J5"/>
  <c r="T10" i="14" l="1"/>
  <c r="T16"/>
  <c r="T12"/>
  <c r="T6"/>
  <c r="T7"/>
  <c r="T8"/>
  <c r="M17" i="13"/>
  <c r="H18" i="19"/>
  <c r="J18" i="7"/>
  <c r="BC17" i="5"/>
  <c r="BD17" s="1"/>
  <c r="D17" i="13"/>
  <c r="F17"/>
  <c r="K17"/>
  <c r="H9" i="19"/>
  <c r="H10"/>
  <c r="H12"/>
  <c r="J14" i="7"/>
  <c r="J10"/>
  <c r="J11"/>
  <c r="J12"/>
  <c r="J16"/>
  <c r="K5" i="13"/>
  <c r="K6"/>
  <c r="K7"/>
  <c r="K8"/>
  <c r="K9"/>
  <c r="K10"/>
  <c r="K11"/>
  <c r="K12"/>
  <c r="K13"/>
  <c r="K14"/>
  <c r="K15"/>
  <c r="K16"/>
  <c r="K4"/>
  <c r="J2" i="19" l="1"/>
  <c r="J1"/>
  <c r="P58" i="1"/>
  <c r="C17" i="13" s="1"/>
  <c r="B21" i="19"/>
  <c r="H17" i="13"/>
  <c r="B22" i="19" l="1"/>
  <c r="C14" s="1"/>
  <c r="J8" i="7"/>
  <c r="BC5" i="5"/>
  <c r="BC6"/>
  <c r="BC7"/>
  <c r="BC8"/>
  <c r="BC9"/>
  <c r="BC10"/>
  <c r="BC11"/>
  <c r="BC12"/>
  <c r="BC13"/>
  <c r="BC14"/>
  <c r="BC15"/>
  <c r="BC16"/>
  <c r="BC4"/>
  <c r="C12" i="19" l="1"/>
  <c r="C18"/>
  <c r="D18" s="1"/>
  <c r="C10"/>
  <c r="D10" s="1"/>
  <c r="C9"/>
  <c r="D12" l="1"/>
  <c r="D9"/>
  <c r="D14"/>
  <c r="D60" i="1"/>
  <c r="E60" l="1"/>
  <c r="L60"/>
  <c r="P60"/>
  <c r="H60"/>
  <c r="F60"/>
  <c r="C60"/>
  <c r="O60"/>
  <c r="N60"/>
  <c r="J60"/>
  <c r="I60"/>
  <c r="M60"/>
  <c r="G60"/>
  <c r="K60"/>
  <c r="D5" i="13"/>
  <c r="D6"/>
  <c r="D7"/>
  <c r="D8"/>
  <c r="D9"/>
  <c r="D10"/>
  <c r="D11"/>
  <c r="D12"/>
  <c r="D13"/>
  <c r="D14"/>
  <c r="D15"/>
  <c r="D16"/>
  <c r="D4"/>
  <c r="F9"/>
  <c r="F11"/>
  <c r="C58" i="1"/>
  <c r="C4" i="13" s="1"/>
  <c r="F14" l="1"/>
  <c r="F8"/>
  <c r="F16"/>
  <c r="F12"/>
  <c r="F6"/>
  <c r="F13"/>
  <c r="F7"/>
  <c r="F15"/>
  <c r="F10"/>
  <c r="F5"/>
  <c r="F12" i="15" l="1"/>
  <c r="F7"/>
  <c r="P5" i="13" l="1"/>
  <c r="P6"/>
  <c r="P7"/>
  <c r="P8"/>
  <c r="P9"/>
  <c r="P10"/>
  <c r="P11"/>
  <c r="P12"/>
  <c r="P13"/>
  <c r="P14"/>
  <c r="P4"/>
  <c r="J17" i="7" l="1"/>
  <c r="J13"/>
  <c r="J9"/>
  <c r="J6"/>
  <c r="K6" l="1"/>
  <c r="K5"/>
  <c r="K7"/>
  <c r="K15"/>
  <c r="K18"/>
  <c r="K14"/>
  <c r="K16"/>
  <c r="K11"/>
  <c r="K10"/>
  <c r="K12"/>
  <c r="J2"/>
  <c r="J3"/>
  <c r="K8"/>
  <c r="K13"/>
  <c r="K17"/>
  <c r="K9"/>
  <c r="F4" i="13" l="1"/>
  <c r="H23" i="6" l="1"/>
  <c r="BD16" i="5"/>
  <c r="BD15"/>
  <c r="BD14"/>
  <c r="BD13"/>
  <c r="BD12"/>
  <c r="BD11"/>
  <c r="BD10"/>
  <c r="H10" i="13" s="1"/>
  <c r="BD9" i="5"/>
  <c r="H9" i="13" s="1"/>
  <c r="BD8" i="5"/>
  <c r="H8" i="13" s="1"/>
  <c r="BD7" i="5"/>
  <c r="H7" i="13" s="1"/>
  <c r="BD6" i="5"/>
  <c r="BD5"/>
  <c r="H5" i="13" s="1"/>
  <c r="BD4" i="5"/>
  <c r="H4" i="13" s="1"/>
  <c r="BE17" i="5" l="1"/>
  <c r="H14" i="13"/>
  <c r="BE14" i="5"/>
  <c r="H11" i="13"/>
  <c r="BE11" i="5"/>
  <c r="H16" i="13"/>
  <c r="BE16" i="5"/>
  <c r="H13" i="13"/>
  <c r="BE13" i="5"/>
  <c r="H15" i="13"/>
  <c r="BE15" i="5"/>
  <c r="H12" i="13"/>
  <c r="BE12" i="5"/>
  <c r="H6" i="13"/>
  <c r="BE9" i="5"/>
  <c r="BE4"/>
  <c r="BE8"/>
  <c r="BE6"/>
  <c r="BE7"/>
  <c r="BE10"/>
  <c r="BE5"/>
  <c r="H24" i="6"/>
  <c r="I17" s="1"/>
  <c r="I14" l="1"/>
  <c r="I11"/>
  <c r="I13"/>
  <c r="I8"/>
  <c r="I9"/>
  <c r="M4" i="13"/>
  <c r="N58" i="1" l="1"/>
  <c r="C15" i="13" s="1"/>
  <c r="A6" i="1" l="1"/>
  <c r="A7" s="1"/>
  <c r="A8" s="1"/>
  <c r="A9" s="1"/>
  <c r="A10" s="1"/>
  <c r="M15" i="13"/>
  <c r="M7"/>
  <c r="A11" i="1" l="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O58"/>
  <c r="C16" i="13" s="1"/>
  <c r="M58" i="1"/>
  <c r="C14" i="13" s="1"/>
  <c r="F14" i="15"/>
  <c r="F15"/>
  <c r="F16"/>
  <c r="M5" i="13"/>
  <c r="M6"/>
  <c r="M8"/>
  <c r="M9"/>
  <c r="M10"/>
  <c r="M11"/>
  <c r="M12"/>
  <c r="M13"/>
  <c r="M14"/>
  <c r="M16"/>
  <c r="O4"/>
  <c r="F5" i="15"/>
  <c r="F8"/>
  <c r="F10"/>
  <c r="I58" i="1"/>
  <c r="C10" i="13" s="1"/>
  <c r="E58" i="1"/>
  <c r="C6" i="13" s="1"/>
  <c r="F58" i="1"/>
  <c r="C7" i="13" s="1"/>
  <c r="G58" i="1"/>
  <c r="C8" i="13" s="1"/>
  <c r="L58" i="1"/>
  <c r="C13" i="13" s="1"/>
  <c r="K58" i="1"/>
  <c r="C12" i="13" s="1"/>
  <c r="J58" i="1"/>
  <c r="C11" i="13" s="1"/>
  <c r="D58" i="1"/>
  <c r="C5" i="13" s="1"/>
  <c r="H58" i="1"/>
  <c r="C9" i="13" s="1"/>
  <c r="I16" i="15" l="1"/>
  <c r="I14"/>
  <c r="I8"/>
  <c r="G2"/>
  <c r="I5"/>
  <c r="G1"/>
  <c r="I7"/>
  <c r="I12"/>
  <c r="I10"/>
  <c r="I15"/>
  <c r="J18" i="6"/>
  <c r="C25" i="3"/>
  <c r="F29" i="6"/>
  <c r="E21" i="7"/>
  <c r="E30" i="6"/>
  <c r="I17" i="13" l="1"/>
  <c r="C26" i="3"/>
  <c r="F17" s="1"/>
  <c r="M17" s="1"/>
  <c r="F20"/>
  <c r="M20" s="1"/>
  <c r="J22" i="11"/>
  <c r="F10" i="3"/>
  <c r="M10" s="1"/>
  <c r="E31" i="6"/>
  <c r="F30"/>
  <c r="E22" i="7"/>
  <c r="G15" s="1"/>
  <c r="E17" i="13" l="1"/>
  <c r="E35" s="1"/>
  <c r="E14"/>
  <c r="F18" i="3"/>
  <c r="M18" s="1"/>
  <c r="E7" i="13"/>
  <c r="G18" i="7"/>
  <c r="F13" i="3"/>
  <c r="M13" s="1"/>
  <c r="F8"/>
  <c r="M8" s="1"/>
  <c r="F19"/>
  <c r="M19" s="1"/>
  <c r="F16"/>
  <c r="M16" s="1"/>
  <c r="F11"/>
  <c r="M11" s="1"/>
  <c r="F9"/>
  <c r="M9" s="1"/>
  <c r="F15"/>
  <c r="M15" s="1"/>
  <c r="F12"/>
  <c r="M12" s="1"/>
  <c r="F7"/>
  <c r="M7" s="1"/>
  <c r="E4" i="13" s="1"/>
  <c r="F14" i="3"/>
  <c r="M14" s="1"/>
  <c r="G7" i="7"/>
  <c r="K13" i="11"/>
  <c r="J14" i="13"/>
  <c r="G5" i="7"/>
  <c r="G6"/>
  <c r="G9"/>
  <c r="J23" i="11"/>
  <c r="K6" s="1"/>
  <c r="F31" i="6"/>
  <c r="E32"/>
  <c r="J8" i="13" l="1"/>
  <c r="J17"/>
  <c r="D35" s="1"/>
  <c r="E11"/>
  <c r="N14" i="3"/>
  <c r="E5" i="13"/>
  <c r="N8" i="3"/>
  <c r="N7"/>
  <c r="E10" i="13"/>
  <c r="N13" i="3"/>
  <c r="E13" i="13"/>
  <c r="N16" i="3"/>
  <c r="N20"/>
  <c r="E6" i="13"/>
  <c r="N9" i="3"/>
  <c r="N17"/>
  <c r="E8" i="13"/>
  <c r="N11" i="3"/>
  <c r="N10"/>
  <c r="E9" i="13"/>
  <c r="N12" i="3"/>
  <c r="E12" i="13"/>
  <c r="N15" i="3"/>
  <c r="E16" i="13"/>
  <c r="N19" i="3"/>
  <c r="E15" i="13"/>
  <c r="N18" i="3"/>
  <c r="K16" i="11"/>
  <c r="K18"/>
  <c r="J5" i="13"/>
  <c r="J7"/>
  <c r="G8" i="7"/>
  <c r="J4" i="13"/>
  <c r="J15"/>
  <c r="G16" i="7"/>
  <c r="J16" i="13"/>
  <c r="G17" i="7"/>
  <c r="J9" i="13"/>
  <c r="G10" i="7"/>
  <c r="J10" i="13"/>
  <c r="G11" i="7"/>
  <c r="J6" i="13"/>
  <c r="J12"/>
  <c r="G13" i="7"/>
  <c r="J11" i="13"/>
  <c r="G12" i="7"/>
  <c r="J13" i="13"/>
  <c r="G14" i="7"/>
  <c r="K8" i="11"/>
  <c r="K9"/>
  <c r="N7" i="13"/>
  <c r="K17" i="11"/>
  <c r="N14" i="13"/>
  <c r="N4"/>
  <c r="K7" i="11"/>
  <c r="F32" i="6"/>
  <c r="E33"/>
  <c r="N13" i="13" l="1"/>
  <c r="K15" i="11"/>
  <c r="N17" i="13"/>
  <c r="K19" i="11"/>
  <c r="N8" i="13"/>
  <c r="K10" i="11"/>
  <c r="N10" i="13"/>
  <c r="K12" i="11"/>
  <c r="N6" i="13"/>
  <c r="N9"/>
  <c r="K11" i="11"/>
  <c r="N12" i="13"/>
  <c r="K14" i="11"/>
  <c r="N15" i="13"/>
  <c r="N5"/>
  <c r="N11"/>
  <c r="N16"/>
  <c r="F33" i="6"/>
  <c r="E34"/>
  <c r="E35" l="1"/>
  <c r="F34"/>
  <c r="F35" l="1"/>
  <c r="E36"/>
  <c r="F36" l="1"/>
  <c r="E37"/>
  <c r="E38" l="1"/>
  <c r="F37"/>
  <c r="F38" l="1"/>
  <c r="E39"/>
  <c r="F39" l="1"/>
  <c r="E40"/>
  <c r="F40" l="1"/>
  <c r="E41"/>
  <c r="F41" l="1"/>
  <c r="E42"/>
  <c r="F42" l="1"/>
  <c r="E43"/>
  <c r="E44" l="1"/>
  <c r="F43"/>
  <c r="F44" l="1"/>
  <c r="E45"/>
  <c r="F45" s="1"/>
  <c r="J14" l="1"/>
  <c r="J9"/>
  <c r="J6"/>
  <c r="J16"/>
  <c r="J13"/>
  <c r="J15"/>
  <c r="J12"/>
  <c r="J11"/>
  <c r="J17"/>
  <c r="J8"/>
  <c r="I7"/>
  <c r="J7" s="1"/>
  <c r="J10"/>
  <c r="I10" i="13" l="1"/>
  <c r="D28" s="1"/>
  <c r="K11" i="6"/>
  <c r="I11" i="13"/>
  <c r="D29" s="1"/>
  <c r="I9"/>
  <c r="I15"/>
  <c r="D33" s="1"/>
  <c r="I6"/>
  <c r="K7" i="6"/>
  <c r="I5" i="13"/>
  <c r="D23" s="1"/>
  <c r="I7"/>
  <c r="K8" i="6"/>
  <c r="I14" i="13"/>
  <c r="D32" s="1"/>
  <c r="I8"/>
  <c r="D26" s="1"/>
  <c r="K9" i="6"/>
  <c r="I16" i="13"/>
  <c r="D34" s="1"/>
  <c r="K17" i="6"/>
  <c r="I12" i="13"/>
  <c r="D30" s="1"/>
  <c r="K13" i="6"/>
  <c r="I13" i="13"/>
  <c r="K14" i="6"/>
  <c r="I4" i="13"/>
  <c r="D22" s="1"/>
  <c r="E26"/>
  <c r="E27" l="1"/>
  <c r="D27"/>
  <c r="E24"/>
  <c r="D24"/>
  <c r="E31"/>
  <c r="D31"/>
  <c r="E25"/>
  <c r="D25"/>
  <c r="E28"/>
  <c r="E30"/>
  <c r="E32"/>
  <c r="E23"/>
  <c r="E34"/>
  <c r="E29"/>
  <c r="E33"/>
  <c r="E22"/>
  <c r="D37" l="1"/>
  <c r="E37"/>
  <c r="F6" i="4"/>
  <c r="F7" l="1"/>
  <c r="F14" l="1"/>
  <c r="F20"/>
  <c r="F16"/>
  <c r="F18"/>
  <c r="F13"/>
  <c r="F22"/>
  <c r="G4" i="13"/>
  <c r="G15"/>
  <c r="G13" i="4" l="1"/>
  <c r="G14"/>
  <c r="G11"/>
  <c r="G12" i="13"/>
  <c r="G30" s="1"/>
  <c r="G18" i="4"/>
  <c r="G14" i="13"/>
  <c r="G32" s="1"/>
  <c r="G20" i="4"/>
  <c r="G10" i="13"/>
  <c r="G28" s="1"/>
  <c r="G16" i="4"/>
  <c r="G13" i="13"/>
  <c r="G31" s="1"/>
  <c r="G16"/>
  <c r="G34" s="1"/>
  <c r="G22" i="4"/>
  <c r="G11" i="13"/>
  <c r="G29" s="1"/>
  <c r="G17"/>
  <c r="G8"/>
  <c r="G26" s="1"/>
  <c r="G33"/>
  <c r="G22"/>
  <c r="G5"/>
  <c r="G7"/>
  <c r="G9"/>
  <c r="G6"/>
  <c r="F21" i="19"/>
  <c r="G35" i="13" l="1"/>
  <c r="G25"/>
  <c r="G27"/>
  <c r="G24"/>
  <c r="G23"/>
  <c r="F22" i="19"/>
  <c r="I14" s="1"/>
  <c r="I18" l="1"/>
  <c r="K14"/>
  <c r="L12" i="13" s="1"/>
  <c r="G37"/>
  <c r="I12" i="19"/>
  <c r="I10"/>
  <c r="I9"/>
  <c r="J6"/>
  <c r="J18" l="1"/>
  <c r="J13"/>
  <c r="J11"/>
  <c r="J17"/>
  <c r="J15"/>
  <c r="J9"/>
  <c r="J7"/>
  <c r="J10"/>
  <c r="J19"/>
  <c r="J8"/>
  <c r="J12"/>
  <c r="J16"/>
  <c r="J14"/>
  <c r="K19"/>
  <c r="L17" i="13" s="1"/>
  <c r="K17" i="19"/>
  <c r="L15" i="13" s="1"/>
  <c r="K18" i="19"/>
  <c r="L16" i="13" s="1"/>
  <c r="K16" i="19"/>
  <c r="L14" i="13" s="1"/>
  <c r="K6" i="19"/>
  <c r="L4" i="13" s="1"/>
  <c r="K13" i="19"/>
  <c r="L11" i="13" s="1"/>
  <c r="K11" i="19"/>
  <c r="L9" i="13" s="1"/>
  <c r="K15" i="19"/>
  <c r="L13" i="13" s="1"/>
  <c r="K9" i="19"/>
  <c r="L7" i="13" s="1"/>
  <c r="K7" i="19"/>
  <c r="L5" i="13" s="1"/>
  <c r="K10" i="19"/>
  <c r="L8" i="13" s="1"/>
  <c r="K8" i="19"/>
  <c r="L6" i="13" s="1"/>
  <c r="K12" i="19"/>
  <c r="L10" i="13" s="1"/>
  <c r="H35" l="1"/>
  <c r="Q17"/>
  <c r="Q15"/>
  <c r="H33"/>
  <c r="Q14"/>
  <c r="H32"/>
  <c r="H34"/>
  <c r="Q16"/>
  <c r="Q13"/>
  <c r="H31"/>
  <c r="H24"/>
  <c r="Q6"/>
  <c r="H25"/>
  <c r="Q7"/>
  <c r="Q9"/>
  <c r="H27"/>
  <c r="Q4"/>
  <c r="H22"/>
  <c r="Q10"/>
  <c r="H28"/>
  <c r="H23"/>
  <c r="Q5"/>
  <c r="Q11"/>
  <c r="H29"/>
  <c r="Q8"/>
  <c r="H26"/>
  <c r="Q12"/>
  <c r="O12"/>
  <c r="H30" s="1"/>
  <c r="I35" l="1"/>
  <c r="I33"/>
  <c r="I30"/>
  <c r="I34"/>
  <c r="I31"/>
  <c r="I25"/>
  <c r="I23"/>
  <c r="I27"/>
  <c r="I28"/>
  <c r="I26"/>
  <c r="I22"/>
  <c r="I32"/>
  <c r="I24"/>
  <c r="I29"/>
</calcChain>
</file>

<file path=xl/sharedStrings.xml><?xml version="1.0" encoding="utf-8"?>
<sst xmlns="http://schemas.openxmlformats.org/spreadsheetml/2006/main" count="743" uniqueCount="330">
  <si>
    <t xml:space="preserve">Gmax = </t>
  </si>
  <si>
    <t>Gmin =</t>
  </si>
  <si>
    <t>Emissions</t>
  </si>
  <si>
    <t>Handling</t>
  </si>
  <si>
    <t>Oral</t>
  </si>
  <si>
    <t>Static</t>
  </si>
  <si>
    <t>Paper</t>
  </si>
  <si>
    <t>Late Paper</t>
  </si>
  <si>
    <t>Safety Violation</t>
  </si>
  <si>
    <t>POINTS</t>
  </si>
  <si>
    <t>Fuel Economy (MPG)</t>
  </si>
  <si>
    <t>gallons</t>
  </si>
  <si>
    <t>miles</t>
  </si>
  <si>
    <t>Distance=</t>
  </si>
  <si>
    <t>SCORE</t>
  </si>
  <si>
    <t>Tmin=</t>
  </si>
  <si>
    <t>sec</t>
  </si>
  <si>
    <t>Result (PASS/FAIL)</t>
  </si>
  <si>
    <t>Best</t>
  </si>
  <si>
    <t>Points</t>
  </si>
  <si>
    <t>Design</t>
  </si>
  <si>
    <t>Most</t>
  </si>
  <si>
    <t>Practical</t>
  </si>
  <si>
    <t>TOTAL</t>
  </si>
  <si>
    <t>RANK</t>
  </si>
  <si>
    <t>FINAL</t>
  </si>
  <si>
    <t>Ordinal</t>
  </si>
  <si>
    <t>(Course distance)</t>
  </si>
  <si>
    <t>Run1 Time (s)</t>
  </si>
  <si>
    <t>Run2 Time (s)</t>
  </si>
  <si>
    <t>Minimum Lap Time (s)</t>
  </si>
  <si>
    <t>Tmax =</t>
  </si>
  <si>
    <t>Tmin =</t>
  </si>
  <si>
    <t>Noise</t>
  </si>
  <si>
    <t>Acceleration</t>
  </si>
  <si>
    <t>Best Time (s)</t>
  </si>
  <si>
    <t>Late Oral</t>
  </si>
  <si>
    <t>Fuel</t>
  </si>
  <si>
    <t>Economy</t>
  </si>
  <si>
    <t>Cold</t>
  </si>
  <si>
    <t>Start</t>
  </si>
  <si>
    <t xml:space="preserve"> </t>
  </si>
  <si>
    <t>Objective</t>
  </si>
  <si>
    <t>Display</t>
  </si>
  <si>
    <t>Subjective</t>
  </si>
  <si>
    <t>Comments</t>
  </si>
  <si>
    <t>Actual
Gallons
Consumed</t>
  </si>
  <si>
    <t>Score</t>
  </si>
  <si>
    <t>Late Design 
Write-up/Fuel Selection</t>
  </si>
  <si>
    <t>Front Left</t>
  </si>
  <si>
    <t>Front Right</t>
  </si>
  <si>
    <t>Rear</t>
  </si>
  <si>
    <t>Wmin=</t>
  </si>
  <si>
    <t>Wmax=</t>
  </si>
  <si>
    <t>pounds</t>
  </si>
  <si>
    <t>Total</t>
  </si>
  <si>
    <t>Late MSRP</t>
  </si>
  <si>
    <t>Bonus for No Maintenance</t>
  </si>
  <si>
    <t>Maintenance
or
Design</t>
  </si>
  <si>
    <t>Bonuses</t>
  </si>
  <si>
    <t>Penalties/</t>
  </si>
  <si>
    <t>Miles
 Completed</t>
  </si>
  <si>
    <t>MSRP</t>
  </si>
  <si>
    <t>Best Fuel Economy Winner (Gage)</t>
  </si>
  <si>
    <t>Most Practical Winner (BRC)</t>
  </si>
  <si>
    <t>Average</t>
  </si>
  <si>
    <t>Subjective Points</t>
  </si>
  <si>
    <t>Total Noise</t>
  </si>
  <si>
    <t>Min=</t>
  </si>
  <si>
    <t xml:space="preserve"> Rank</t>
  </si>
  <si>
    <t>Tmax=</t>
  </si>
  <si>
    <t xml:space="preserve">  </t>
  </si>
  <si>
    <t>Lab Emissions</t>
  </si>
  <si>
    <t>In Service</t>
  </si>
  <si>
    <t>Inspection
 Penalty</t>
  </si>
  <si>
    <t>Ranking</t>
  </si>
  <si>
    <t>CSC Points</t>
  </si>
  <si>
    <t>Lowest "In Service" Emissions (Sensors)</t>
  </si>
  <si>
    <t>FINAL EMISSIONS (grams/mile)</t>
  </si>
  <si>
    <t>No points for</t>
  </si>
  <si>
    <t>Weight</t>
  </si>
  <si>
    <t>BSFC +</t>
  </si>
  <si>
    <t>Fuel Economy +</t>
  </si>
  <si>
    <t>Completed 5 Modes</t>
  </si>
  <si>
    <t>Lab Emission Test</t>
  </si>
  <si>
    <t>Lab Emission Points</t>
  </si>
  <si>
    <t>Lab EmissionRanking</t>
  </si>
  <si>
    <t>Weighted BSFC</t>
  </si>
  <si>
    <t>Teams exceeding 130 HP during the Power Sweep will not be allowed to continue</t>
  </si>
  <si>
    <t>Min Emissions</t>
  </si>
  <si>
    <t>Max Emission</t>
  </si>
  <si>
    <t>Min Fuel Economy</t>
  </si>
  <si>
    <t>Max Fuel Economy</t>
  </si>
  <si>
    <t>BSFC Points</t>
  </si>
  <si>
    <t>Justifying starting point for sled</t>
  </si>
  <si>
    <t>Justifying reason for component adds</t>
  </si>
  <si>
    <t>Quality of research in determining price</t>
  </si>
  <si>
    <t>Team</t>
  </si>
  <si>
    <t>(information only)</t>
  </si>
  <si>
    <t>on</t>
  </si>
  <si>
    <t>Test
Miles</t>
  </si>
  <si>
    <t>Comment</t>
  </si>
  <si>
    <t>"y=mx+B'</t>
  </si>
  <si>
    <t>Y=score</t>
  </si>
  <si>
    <t>X=cost</t>
  </si>
  <si>
    <t>M=slope</t>
  </si>
  <si>
    <t>B=Y intercept at X=0</t>
  </si>
  <si>
    <t>Max=</t>
  </si>
  <si>
    <t>Max score points=</t>
  </si>
  <si>
    <t>Y=mx+b</t>
  </si>
  <si>
    <t>m=</t>
  </si>
  <si>
    <t>b=</t>
  </si>
  <si>
    <t>Linear curve</t>
  </si>
  <si>
    <t>y=mx+b</t>
  </si>
  <si>
    <t>Linear POINTS</t>
  </si>
  <si>
    <t>Mimimum score is 5 points regardless of averaage</t>
  </si>
  <si>
    <t>Otherwise the average is the score.</t>
  </si>
  <si>
    <t>Linear Ranking on Price</t>
  </si>
  <si>
    <t>These scores are subjective from the judges for the respective categories.</t>
  </si>
  <si>
    <t>20 Points are given on a linear scale from low to high.</t>
  </si>
  <si>
    <t>Total Score</t>
  </si>
  <si>
    <t>Minimum score is 2.5 if they compete.</t>
  </si>
  <si>
    <t>Minimum score is 2.5 if they turn in an MSRP.</t>
  </si>
  <si>
    <t>Minimum score is 50 points if they show up and stay until allowed to leave.</t>
  </si>
  <si>
    <t>Notes</t>
  </si>
  <si>
    <t>Slope</t>
  </si>
  <si>
    <t>Minimum  rank</t>
  </si>
  <si>
    <t>Intercept</t>
  </si>
  <si>
    <t>Maximum rank</t>
  </si>
  <si>
    <t>or whatever the control sled is</t>
  </si>
  <si>
    <t>Minimum score is 5 points as long as a report is submitted.</t>
  </si>
  <si>
    <t>Fuel Economy</t>
  </si>
  <si>
    <t>Sound Pressure</t>
  </si>
  <si>
    <t>Sample result: -3dB in sound pressure = ~half the max score</t>
  </si>
  <si>
    <t>Lowest SPL gets 150 points</t>
  </si>
  <si>
    <t>SPL equal to or greater than control sled gets 7.5 points</t>
  </si>
  <si>
    <t>CO+NO+THC
g/mile</t>
  </si>
  <si>
    <t>Endurance</t>
  </si>
  <si>
    <t>Run 1 Lap Time (s)</t>
  </si>
  <si>
    <t>Run 2 Lap Time (s)</t>
  </si>
  <si>
    <t>Fuel consumed (gallons)</t>
  </si>
  <si>
    <t>Design Paper
Judge</t>
  </si>
  <si>
    <t>MinEScore</t>
  </si>
  <si>
    <t>MaxEScore</t>
  </si>
  <si>
    <t>MinBSFC</t>
  </si>
  <si>
    <t>MaxBSFC</t>
  </si>
  <si>
    <t>Minimum Points</t>
  </si>
  <si>
    <t>Maximum Points</t>
  </si>
  <si>
    <t>Value</t>
  </si>
  <si>
    <t>as above</t>
  </si>
  <si>
    <t>dBA</t>
  </si>
  <si>
    <t>Control Sled tested to J1161 Sound Pressure
 at 35mph in dBA</t>
  </si>
  <si>
    <t>Total Time must be Less than 10 seconds</t>
  </si>
  <si>
    <t>Total Points</t>
  </si>
  <si>
    <t>FE Score</t>
  </si>
  <si>
    <t>FE Ordinal</t>
  </si>
  <si>
    <t>Penalties</t>
  </si>
  <si>
    <t>negative numbers</t>
  </si>
  <si>
    <t>positive numbers</t>
  </si>
  <si>
    <t>Top Speed Run 1</t>
  </si>
  <si>
    <t>Top Speed Run 2</t>
  </si>
  <si>
    <t>Best Speed (mph)</t>
  </si>
  <si>
    <t>Sums</t>
  </si>
  <si>
    <t>Horiba "A Team in Need" - portable
 5 gas analyzer $5,000 value</t>
  </si>
  <si>
    <t>Ecole De Technologie Superieure</t>
  </si>
  <si>
    <t>Univ of Wisconsin - Madison</t>
  </si>
  <si>
    <t>Univ of Minnesota-Duluth</t>
  </si>
  <si>
    <t>Univ of Idaho</t>
  </si>
  <si>
    <t>SUNY - Buffalo</t>
  </si>
  <si>
    <t>Rochester Institute of Technology</t>
  </si>
  <si>
    <t>Iowa State Univ</t>
  </si>
  <si>
    <t>Univ of Wisconsin - Platteville</t>
  </si>
  <si>
    <t>Indiana Univ Purdue Univ Indianapolis</t>
  </si>
  <si>
    <t>Univ of Minnesota - Twin Cities</t>
  </si>
  <si>
    <t>For reference only</t>
  </si>
  <si>
    <t>Brenden Bungert Polaris</t>
  </si>
  <si>
    <t>(Best fuel economy)</t>
  </si>
  <si>
    <t>(worst fuel economy)</t>
  </si>
  <si>
    <t>Name</t>
  </si>
  <si>
    <t>Maximum Horsepower &lt; 130</t>
  </si>
  <si>
    <t>CO &lt; 275</t>
  </si>
  <si>
    <t>HC + Nox &lt; 90</t>
  </si>
  <si>
    <t>E Score &gt; 175</t>
  </si>
  <si>
    <t>Soot &lt; 50</t>
  </si>
  <si>
    <t>Passing E Scores</t>
  </si>
  <si>
    <t>Must PASS "Lab Emissions Test" to score "Lab Emission Points"</t>
  </si>
  <si>
    <t>Must PASS "Completed 5 Modes" to score "BSFC points", but do not have to PASS the "Lab Emission Test"</t>
  </si>
  <si>
    <t>Flags 1 sec</t>
  </si>
  <si>
    <t>Box 5 sec</t>
  </si>
  <si>
    <t>Best Design Winner (Oshkosh)</t>
  </si>
  <si>
    <t>Best Value Award (Continental)</t>
  </si>
  <si>
    <r>
      <t xml:space="preserve">Most Sportsmanlike Winner  (AVL) </t>
    </r>
    <r>
      <rPr>
        <b/>
        <sz val="12"/>
        <color rgb="FF00B050"/>
        <rFont val="Arial"/>
        <family val="2"/>
      </rPr>
      <t>$1000</t>
    </r>
  </si>
  <si>
    <r>
      <t xml:space="preserve">Second Place Winner Overall (YNP) </t>
    </r>
    <r>
      <rPr>
        <b/>
        <sz val="12"/>
        <color rgb="FF00B050"/>
        <rFont val="Arial"/>
        <family val="2"/>
      </rPr>
      <t>$750</t>
    </r>
  </si>
  <si>
    <r>
      <t>Third Place Winner Overall (ACSA)</t>
    </r>
    <r>
      <rPr>
        <b/>
        <sz val="12"/>
        <color rgb="FF00B050"/>
        <rFont val="Arial"/>
        <family val="2"/>
      </rPr>
      <t xml:space="preserve"> $500</t>
    </r>
  </si>
  <si>
    <r>
      <t xml:space="preserve">First Place Winner Overall
 (ISMA) </t>
    </r>
    <r>
      <rPr>
        <b/>
        <sz val="12"/>
        <color rgb="FF00B050"/>
        <rFont val="Arial"/>
        <family val="2"/>
      </rPr>
      <t>$1,000</t>
    </r>
    <r>
      <rPr>
        <b/>
        <sz val="12"/>
        <rFont val="Arial"/>
        <family val="2"/>
      </rPr>
      <t xml:space="preserve"> 
Additionally from MacLean-Fogg $1000 plus traveling trophy</t>
    </r>
  </si>
  <si>
    <t>MSA Award Plaque for Endurance</t>
  </si>
  <si>
    <t>Best Lab Emissions Winner (AVL)</t>
  </si>
  <si>
    <t>Montana State Univ</t>
  </si>
  <si>
    <t>Michigan Tech Univ</t>
  </si>
  <si>
    <t>Rank</t>
  </si>
  <si>
    <t>Michigan Tech</t>
  </si>
  <si>
    <t>-</t>
  </si>
  <si>
    <t>g/kw-hr</t>
  </si>
  <si>
    <t>Control Sled Polaris</t>
  </si>
  <si>
    <r>
      <t xml:space="preserve">Propulsion Efficiency (Borg Warner) </t>
    </r>
    <r>
      <rPr>
        <b/>
        <sz val="12"/>
        <color rgb="FF00B050"/>
        <rFont val="Arial"/>
        <family val="2"/>
      </rPr>
      <t>$1000</t>
    </r>
  </si>
  <si>
    <t>Control Sled</t>
  </si>
  <si>
    <t>Emissions Fuel E Zero</t>
  </si>
  <si>
    <t>CAN-DO E-Controls award (E Controls) $1,000 value products</t>
  </si>
  <si>
    <t>Kettering Univ</t>
  </si>
  <si>
    <t>Montana State Univ - Bozeman</t>
  </si>
  <si>
    <t>Univ of Maryland - Baltimore County</t>
  </si>
  <si>
    <t>SUNY-Buffalo</t>
  </si>
  <si>
    <t>Univ of Wisconsin - Plattevill</t>
  </si>
  <si>
    <t>University of Minnesota - Twin Cities</t>
  </si>
  <si>
    <t>University of Idaho</t>
  </si>
  <si>
    <t>University of Minnesota - Duluth</t>
  </si>
  <si>
    <t>University of Wisconsin - Madison</t>
  </si>
  <si>
    <t>Indiana Univ Purdue</t>
  </si>
  <si>
    <t>University of Maryland - Baltimore</t>
  </si>
  <si>
    <t>CSC 2020 Competition Totals SI Class</t>
  </si>
  <si>
    <t>SAE CSC 2020 Design Paper</t>
  </si>
  <si>
    <t>SAE CSC 2020 Static Display Results</t>
  </si>
  <si>
    <t>SAE CSC 2020 Subjective Ride Results - Event Coordinator - Polaris</t>
  </si>
  <si>
    <t>SAE CSC 2020 Fuel Economy/Endurance Results</t>
  </si>
  <si>
    <t>SAE CSC 2020 SI Engine Noise Testing</t>
  </si>
  <si>
    <t>SAE CSC 2020 Oral Presentation Results</t>
  </si>
  <si>
    <t>SAE CSC 2020 Acceleration Results Bredan Bungert- Polaris</t>
  </si>
  <si>
    <t>SAE CSC 2020 Cold Start Results</t>
  </si>
  <si>
    <t xml:space="preserve">SAE CSC 2020 Objective Handling/Driveability </t>
  </si>
  <si>
    <t>SAE CSC 2020 Penalties and Bonuses</t>
  </si>
  <si>
    <t>SAE CSC 2020 IC Vehicle Weights</t>
  </si>
  <si>
    <t>MBBM Data</t>
  </si>
  <si>
    <t>Control Sled J192 Sound Pressure Per Test by Mueller BBM</t>
  </si>
  <si>
    <t>Control Sled J1161 Sound Pressure Level from GLSV</t>
  </si>
  <si>
    <t>GLSV Data</t>
  </si>
  <si>
    <t>Put lowest GLSV score here &gt;</t>
  </si>
  <si>
    <t>Manual lookup</t>
  </si>
  <si>
    <t xml:space="preserve">then put score above </t>
  </si>
  <si>
    <t>in GLSV column</t>
  </si>
  <si>
    <t>equals average</t>
  </si>
  <si>
    <t>failed at aboout 4 miles due to engine problems - 5 points</t>
  </si>
  <si>
    <t>failed at 0 miles - could not start their engine - zero points</t>
  </si>
  <si>
    <t>john.katnik</t>
  </si>
  <si>
    <t>jonpep2466</t>
  </si>
  <si>
    <t>Mike Green</t>
  </si>
  <si>
    <t>whynotbobk</t>
  </si>
  <si>
    <t>Howard Haines</t>
  </si>
  <si>
    <t>agallipo</t>
  </si>
  <si>
    <t>bpatzelt</t>
  </si>
  <si>
    <t>dshimcoski</t>
  </si>
  <si>
    <t>Gearhead7677</t>
  </si>
  <si>
    <t>Craig Allen</t>
  </si>
  <si>
    <t>lpeter</t>
  </si>
  <si>
    <t>polanglois</t>
  </si>
  <si>
    <t>tcimermabcic</t>
  </si>
  <si>
    <t>wbryan</t>
  </si>
  <si>
    <t>zlipple</t>
  </si>
  <si>
    <t>Dan Nehmer</t>
  </si>
  <si>
    <t>afuhrman</t>
  </si>
  <si>
    <t>bob.bonneau</t>
  </si>
  <si>
    <t>malouftc</t>
  </si>
  <si>
    <t>Phil Mcdowell</t>
  </si>
  <si>
    <t>Bill Casson</t>
  </si>
  <si>
    <t>CadeSmithBEG</t>
  </si>
  <si>
    <t>cagreen</t>
  </si>
  <si>
    <t>dkalash</t>
  </si>
  <si>
    <t>gniedermaier</t>
  </si>
  <si>
    <t>jchristensen48189</t>
  </si>
  <si>
    <t>Mcoach</t>
  </si>
  <si>
    <t>nmlatuszMPT</t>
  </si>
  <si>
    <t>WA8VTD&amp;CSC20</t>
  </si>
  <si>
    <t>Lomasney</t>
  </si>
  <si>
    <t>Jalden</t>
  </si>
  <si>
    <t>JasonOllanketo</t>
  </si>
  <si>
    <t>mjclevel</t>
  </si>
  <si>
    <t>DNF</t>
  </si>
  <si>
    <t>Comments:</t>
  </si>
  <si>
    <t>1st year team, great attitude and look forward to having them back next yeart.</t>
  </si>
  <si>
    <t xml:space="preserve">Substitution rule and use of stock components not well defined - Review rules </t>
  </si>
  <si>
    <t xml:space="preserve">Struggled to justify why they would add $2k+ suspention adds to sled.  </t>
  </si>
  <si>
    <t>Added components not required for production sled, ie CAN O2</t>
  </si>
  <si>
    <t>Could have added track from BRP and not used substitution rule, didn't explain why track was changed well.</t>
  </si>
  <si>
    <t>MSRP was detailed but they did not read rules well which resulted in significant costs added for development hardware that would not be on production sled.</t>
  </si>
  <si>
    <t>Wrong spreadsheet, 2018 sled.  Described why they used 850cc but valued at 600cc to some degree, but not completely (sellling power, fun, and not engine size).  Quality of research was lacking details, contact information.</t>
  </si>
  <si>
    <t>Example, exhaust system costing was too expensive.  Should have put more time into determing realistic costs rather than team fabrication cost.  Show more work, methodology.</t>
  </si>
  <si>
    <t>Excellent justification for choice of sled, good detail of what they wanted; place to start.</t>
  </si>
  <si>
    <t>80HP Turbo sled, could not explain well what advantages were to adding turbo to this engine rather than building NA sled in same power class with less complexity.</t>
  </si>
  <si>
    <t>Didn't show any work and very difficult to follow submitted MSRP.  Claimed heated injectors same value as stock (missing MSRP additions discussed in paper).</t>
  </si>
  <si>
    <r>
      <t xml:space="preserve">No show at scheduled time.  MSRP was submitted.  </t>
    </r>
    <r>
      <rPr>
        <sz val="12"/>
        <rFont val="Arial"/>
        <family val="2"/>
      </rPr>
      <t xml:space="preserve">MSRP missing component adds like electric starter, catalyst.  Didn't show work, wrong price on base sled, etc.  </t>
    </r>
  </si>
  <si>
    <t>Very good effort for 1st year team.  Possitive discussion for improvements next year.</t>
  </si>
  <si>
    <t>Good justification of sled.  Reasons for adding components, understanding of rules, quality of work needs improvement.</t>
  </si>
  <si>
    <t>PASS</t>
  </si>
  <si>
    <t>FAIL</t>
  </si>
  <si>
    <t>DNS</t>
  </si>
  <si>
    <t>DNF - Did not make speed</t>
  </si>
  <si>
    <t>OK</t>
  </si>
  <si>
    <t>OK (2nd run - sample error 1st)</t>
  </si>
  <si>
    <t>OK (stopped during warm-up lap)</t>
  </si>
  <si>
    <t>DNF - Engine stopped, electrical smoldering</t>
  </si>
  <si>
    <t>DNF - Engine failure - fire</t>
  </si>
  <si>
    <t>OK (2nd run - fuel measurement issue 1st)</t>
  </si>
  <si>
    <t>EVENT WAS NOT PERFORMED</t>
  </si>
  <si>
    <t xml:space="preserve">EQUATION FOR NEXT YEAR! </t>
  </si>
  <si>
    <t>Iowa State</t>
  </si>
  <si>
    <t>Late Abstract</t>
  </si>
  <si>
    <t>Elzinga</t>
  </si>
  <si>
    <t># papers reviews</t>
  </si>
  <si>
    <t>Cancelled Event</t>
  </si>
  <si>
    <t>No data</t>
  </si>
  <si>
    <t>Event Cancelled</t>
  </si>
  <si>
    <t>CSC 2020 LAB EMISSION TEST - SCORING SUMMARY AVL</t>
  </si>
  <si>
    <t>SAE CSC 2020 In Service Emission Testing Results Sensors, Inc.</t>
  </si>
  <si>
    <t>SAE CSC 2020 MSRP Results John Deere, DENSO, BASF</t>
  </si>
  <si>
    <t>E69</t>
  </si>
  <si>
    <t xml:space="preserve">Quietest Snowmobile Winner (PCB) </t>
  </si>
  <si>
    <t>Rookie of the Year</t>
  </si>
  <si>
    <t>MTU, ETS, Idaho, Iowa State, Madison, Maryland</t>
  </si>
  <si>
    <t>Missed Monday Inspection</t>
  </si>
  <si>
    <t>Coolant Leak during Endurance</t>
  </si>
  <si>
    <t>Late Inspection and Broken Steering</t>
  </si>
  <si>
    <t>Fire Extinguisher fell off sled
Repair after Inspection</t>
  </si>
  <si>
    <t>Lat for Inspection 
Failed thermal in Inspeciton</t>
  </si>
  <si>
    <t>Fuel Leak in belly pan</t>
  </si>
  <si>
    <t>Failed Inspection - overheat</t>
  </si>
  <si>
    <t>Late for inspection
Fuel Leal
Electrical issue</t>
  </si>
  <si>
    <t>Engine Failure</t>
  </si>
  <si>
    <t>Battery Failure</t>
  </si>
  <si>
    <t>No inspection</t>
  </si>
  <si>
    <t>ETS</t>
  </si>
  <si>
    <t>Mahle Best Engine Design Innovation</t>
  </si>
</sst>
</file>

<file path=xl/styles.xml><?xml version="1.0" encoding="utf-8"?>
<styleSheet xmlns="http://schemas.openxmlformats.org/spreadsheetml/2006/main">
  <numFmts count="8">
    <numFmt numFmtId="44" formatCode="_(&quot;$&quot;* #,##0.00_);_(&quot;$&quot;* \(#,##0.00\);_(&quot;$&quot;* &quot;-&quot;??_);_(@_)"/>
    <numFmt numFmtId="164" formatCode="0.0"/>
    <numFmt numFmtId="165" formatCode="&quot;$&quot;#,##0.00"/>
    <numFmt numFmtId="166" formatCode="0.000"/>
    <numFmt numFmtId="167" formatCode="0.0%"/>
    <numFmt numFmtId="168" formatCode="\$#,##0.00"/>
    <numFmt numFmtId="169" formatCode="0.000000"/>
    <numFmt numFmtId="170" formatCode="0.0000"/>
  </numFmts>
  <fonts count="11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i/>
      <sz val="10"/>
      <name val="Arial"/>
      <family val="2"/>
    </font>
    <font>
      <sz val="10"/>
      <name val="Arial"/>
      <family val="2"/>
    </font>
    <font>
      <b/>
      <sz val="10"/>
      <color indexed="8"/>
      <name val="Arial"/>
      <family val="2"/>
    </font>
    <font>
      <sz val="10"/>
      <color indexed="8"/>
      <name val="Arial"/>
      <family val="2"/>
    </font>
    <font>
      <b/>
      <i/>
      <sz val="14"/>
      <name val="Arial"/>
      <family val="2"/>
    </font>
    <font>
      <sz val="12"/>
      <name val="Arial"/>
      <family val="2"/>
    </font>
    <font>
      <sz val="10"/>
      <color indexed="14"/>
      <name val="Arial"/>
      <family val="2"/>
    </font>
    <font>
      <i/>
      <sz val="9"/>
      <name val="Arial"/>
      <family val="2"/>
    </font>
    <font>
      <sz val="10"/>
      <color indexed="53"/>
      <name val="Arial"/>
      <family val="2"/>
    </font>
    <font>
      <b/>
      <sz val="10"/>
      <color indexed="53"/>
      <name val="Arial"/>
      <family val="2"/>
    </font>
    <font>
      <sz val="10"/>
      <color indexed="10"/>
      <name val="Arial"/>
      <family val="2"/>
    </font>
    <font>
      <sz val="8"/>
      <name val="Arial"/>
      <family val="2"/>
    </font>
    <font>
      <b/>
      <sz val="10"/>
      <color indexed="10"/>
      <name val="Arial"/>
      <family val="2"/>
    </font>
    <font>
      <b/>
      <i/>
      <sz val="9"/>
      <name val="Arial"/>
      <family val="2"/>
    </font>
    <font>
      <strike/>
      <sz val="10"/>
      <name val="Arial"/>
      <family val="2"/>
    </font>
    <font>
      <sz val="11"/>
      <name val="Times New Roman"/>
      <family val="1"/>
    </font>
    <font>
      <b/>
      <sz val="11"/>
      <name val="Times New Roman"/>
      <family val="1"/>
    </font>
    <font>
      <b/>
      <sz val="10"/>
      <color rgb="FFFF0000"/>
      <name val="Arial"/>
      <family val="2"/>
    </font>
    <font>
      <sz val="10"/>
      <color rgb="FFFF0000"/>
      <name val="Arial"/>
      <family val="2"/>
    </font>
    <font>
      <b/>
      <sz val="16"/>
      <color rgb="FFFF0000"/>
      <name val="Arial"/>
      <family val="2"/>
    </font>
    <font>
      <sz val="10"/>
      <color rgb="FFFF0000"/>
      <name val="Arial"/>
      <family val="2"/>
    </font>
    <font>
      <sz val="11"/>
      <name val="Calibri"/>
      <family val="2"/>
      <scheme val="minor"/>
    </font>
    <font>
      <sz val="11"/>
      <color rgb="FF9C0006"/>
      <name val="Calibri"/>
      <family val="2"/>
      <scheme val="minor"/>
    </font>
    <font>
      <sz val="10"/>
      <name val="Arial"/>
      <family val="2"/>
    </font>
    <font>
      <sz val="11"/>
      <color rgb="FFFF0000"/>
      <name val="Calibri"/>
      <family val="2"/>
      <scheme val="minor"/>
    </font>
    <font>
      <sz val="10"/>
      <color theme="1"/>
      <name val="Arial"/>
      <family val="2"/>
    </font>
    <font>
      <b/>
      <sz val="10"/>
      <color theme="1"/>
      <name val="Arial"/>
      <family val="2"/>
    </font>
    <font>
      <b/>
      <sz val="14"/>
      <color rgb="FFFF0000"/>
      <name val="Arial"/>
      <family val="2"/>
    </font>
    <font>
      <b/>
      <sz val="11"/>
      <name val="Arial"/>
      <family val="2"/>
    </font>
    <font>
      <b/>
      <sz val="10"/>
      <name val="Calibri"/>
      <family val="2"/>
      <scheme val="minor"/>
    </font>
    <font>
      <sz val="10"/>
      <name val="Calibri"/>
      <family val="2"/>
      <scheme val="minor"/>
    </font>
    <font>
      <sz val="10"/>
      <color rgb="FFFF0000"/>
      <name val="Calibri"/>
      <family val="2"/>
      <scheme val="minor"/>
    </font>
    <font>
      <sz val="10"/>
      <color indexed="10"/>
      <name val="Calibri"/>
      <family val="2"/>
      <scheme val="minor"/>
    </font>
    <font>
      <b/>
      <sz val="10"/>
      <color rgb="FF000000"/>
      <name val="Arial"/>
      <family val="2"/>
    </font>
    <font>
      <u/>
      <sz val="10"/>
      <color theme="10"/>
      <name val="Arial"/>
      <family val="2"/>
    </font>
    <font>
      <b/>
      <sz val="11"/>
      <color rgb="FFFF0000"/>
      <name val="Calibri"/>
      <family val="2"/>
      <scheme val="minor"/>
    </font>
    <font>
      <b/>
      <sz val="14"/>
      <name val="Arial"/>
      <family val="2"/>
    </font>
    <font>
      <sz val="14"/>
      <name val="Arial"/>
      <family val="2"/>
    </font>
    <font>
      <sz val="16"/>
      <name val="Arial"/>
      <family val="2"/>
    </font>
    <font>
      <sz val="11"/>
      <name val="Arial"/>
      <family val="2"/>
    </font>
    <font>
      <b/>
      <sz val="12"/>
      <name val="Arial"/>
      <family val="2"/>
    </font>
    <font>
      <sz val="14"/>
      <name val="Calibri"/>
      <family val="2"/>
      <scheme val="minor"/>
    </font>
    <font>
      <sz val="14"/>
      <color indexed="8"/>
      <name val="Arial"/>
      <family val="2"/>
    </font>
    <font>
      <u/>
      <sz val="10"/>
      <color theme="10"/>
      <name val="Arial"/>
      <family val="2"/>
    </font>
    <font>
      <sz val="9"/>
      <name val="Arial"/>
      <family val="2"/>
    </font>
    <font>
      <b/>
      <sz val="12"/>
      <color theme="1"/>
      <name val="Arial"/>
      <family val="2"/>
    </font>
    <font>
      <b/>
      <sz val="10"/>
      <color rgb="FFFFC000"/>
      <name val="Arial"/>
      <family val="2"/>
    </font>
    <font>
      <b/>
      <sz val="12"/>
      <color rgb="FF00B050"/>
      <name val="Arial"/>
      <family val="2"/>
    </font>
    <font>
      <b/>
      <sz val="14"/>
      <color indexed="8"/>
      <name val="Arial"/>
      <family val="2"/>
    </font>
    <font>
      <sz val="14"/>
      <color rgb="FFFF0000"/>
      <name val="Arial"/>
      <family val="2"/>
    </font>
    <font>
      <b/>
      <sz val="12"/>
      <name val="Calibri"/>
      <family val="2"/>
      <scheme val="minor"/>
    </font>
    <font>
      <b/>
      <sz val="12"/>
      <color indexed="8"/>
      <name val="Arial"/>
      <family val="2"/>
    </font>
    <font>
      <sz val="12"/>
      <color indexed="8"/>
      <name val="Arial"/>
      <family val="2"/>
    </font>
    <font>
      <sz val="12"/>
      <color rgb="FFFF0000"/>
      <name val="Arial"/>
      <family val="2"/>
    </font>
    <font>
      <sz val="22"/>
      <name val="Arial"/>
      <family val="2"/>
    </font>
    <font>
      <b/>
      <sz val="22"/>
      <color indexed="8"/>
      <name val="Arial"/>
      <family val="2"/>
    </font>
    <font>
      <b/>
      <sz val="22"/>
      <color rgb="FF0070C0"/>
      <name val="Arial"/>
      <family val="2"/>
    </font>
    <font>
      <sz val="22"/>
      <name val="Calibri"/>
      <family val="2"/>
    </font>
    <font>
      <sz val="22"/>
      <name val="Calibri"/>
      <family val="2"/>
      <scheme val="minor"/>
    </font>
    <font>
      <b/>
      <sz val="22"/>
      <name val="Arial"/>
      <family val="2"/>
    </font>
    <font>
      <sz val="22"/>
      <color indexed="8"/>
      <name val="Arial"/>
      <family val="2"/>
    </font>
    <font>
      <sz val="22"/>
      <color rgb="FF0070C0"/>
      <name val="Arial"/>
      <family val="2"/>
    </font>
    <font>
      <sz val="22"/>
      <color rgb="FFFF0000"/>
      <name val="Arial"/>
      <family val="2"/>
    </font>
    <font>
      <sz val="12"/>
      <color indexed="10"/>
      <name val="Arial"/>
      <family val="2"/>
    </font>
    <font>
      <sz val="12"/>
      <color indexed="12"/>
      <name val="Arial"/>
      <family val="2"/>
    </font>
    <font>
      <sz val="14"/>
      <color indexed="10"/>
      <name val="Arial"/>
      <family val="2"/>
    </font>
    <font>
      <b/>
      <sz val="14"/>
      <name val="Calibri"/>
      <family val="2"/>
      <scheme val="minor"/>
    </font>
    <font>
      <sz val="14"/>
      <color rgb="FF000000"/>
      <name val="Arial"/>
      <family val="2"/>
    </font>
    <font>
      <sz val="14"/>
      <color indexed="53"/>
      <name val="Arial"/>
      <family val="2"/>
    </font>
    <font>
      <b/>
      <sz val="14"/>
      <color indexed="53"/>
      <name val="Arial"/>
      <family val="2"/>
    </font>
    <font>
      <sz val="12"/>
      <name val="Calibri"/>
      <family val="2"/>
    </font>
    <font>
      <b/>
      <sz val="12"/>
      <color rgb="FFFF0000"/>
      <name val="Arial"/>
      <family val="2"/>
    </font>
    <font>
      <sz val="10"/>
      <color rgb="FF000000"/>
      <name val="Arial"/>
      <family val="2"/>
    </font>
    <font>
      <sz val="10"/>
      <color rgb="FF000000"/>
      <name val="Arial"/>
      <family val="2"/>
    </font>
    <font>
      <b/>
      <sz val="20"/>
      <name val="Arial"/>
      <family val="2"/>
    </font>
    <font>
      <sz val="10"/>
      <color rgb="FF000000"/>
      <name val="Arial"/>
      <family val="2"/>
    </font>
    <font>
      <sz val="12"/>
      <color theme="1"/>
      <name val="Calibri"/>
      <family val="2"/>
    </font>
    <font>
      <b/>
      <sz val="18"/>
      <color rgb="FFFF0000"/>
      <name val="Arial"/>
      <family val="2"/>
    </font>
    <font>
      <sz val="11"/>
      <color rgb="FF000000"/>
      <name val="Calibri"/>
      <family val="2"/>
    </font>
    <font>
      <b/>
      <sz val="9"/>
      <name val="Arial"/>
      <family val="2"/>
    </font>
    <font>
      <sz val="9"/>
      <color rgb="FFFF0000"/>
      <name val="Arial"/>
      <family val="2"/>
    </font>
    <font>
      <b/>
      <sz val="9"/>
      <color theme="1"/>
      <name val="Arial"/>
      <family val="2"/>
    </font>
    <font>
      <sz val="9"/>
      <name val="Calibri"/>
      <family val="2"/>
      <scheme val="minor"/>
    </font>
    <font>
      <b/>
      <sz val="9"/>
      <color rgb="FFFF0000"/>
      <name val="Arial"/>
      <family val="2"/>
    </font>
    <font>
      <sz val="9"/>
      <color rgb="FF00B050"/>
      <name val="Arial"/>
      <family val="2"/>
    </font>
    <font>
      <i/>
      <u/>
      <sz val="9"/>
      <name val="Arial"/>
      <family val="2"/>
    </font>
    <font>
      <b/>
      <sz val="9"/>
      <color rgb="FF7030A0"/>
      <name val="Arial"/>
      <family val="2"/>
    </font>
    <font>
      <b/>
      <sz val="9"/>
      <color rgb="FFC00000"/>
      <name val="Arial"/>
      <family val="2"/>
    </font>
    <font>
      <b/>
      <sz val="9"/>
      <color rgb="FF000000"/>
      <name val="Arial"/>
      <family val="2"/>
    </font>
    <font>
      <b/>
      <sz val="9"/>
      <color indexed="8"/>
      <name val="Arial"/>
      <family val="2"/>
    </font>
    <font>
      <sz val="9"/>
      <color indexed="10"/>
      <name val="Arial"/>
      <family val="2"/>
    </font>
    <font>
      <b/>
      <sz val="9"/>
      <color indexed="10"/>
      <name val="Arial"/>
      <family val="2"/>
    </font>
    <font>
      <sz val="9"/>
      <color theme="1"/>
      <name val="Arial"/>
      <family val="2"/>
    </font>
    <font>
      <sz val="9"/>
      <color rgb="FF222222"/>
      <name val="Arial"/>
      <family val="2"/>
    </font>
    <font>
      <b/>
      <sz val="11"/>
      <color theme="1"/>
      <name val="Arial"/>
      <family val="2"/>
    </font>
  </fonts>
  <fills count="7">
    <fill>
      <patternFill patternType="none"/>
    </fill>
    <fill>
      <patternFill patternType="gray125"/>
    </fill>
    <fill>
      <patternFill patternType="solid">
        <fgColor rgb="FFFFC7CE"/>
      </patternFill>
    </fill>
    <fill>
      <patternFill patternType="solid">
        <fgColor rgb="FFFFFFFF"/>
        <bgColor rgb="FF000000"/>
      </patternFill>
    </fill>
    <fill>
      <patternFill patternType="solid">
        <fgColor theme="3" tint="0.79998168889431442"/>
        <bgColor indexed="64"/>
      </patternFill>
    </fill>
    <fill>
      <patternFill patternType="solid">
        <fgColor theme="0"/>
        <bgColor indexed="64"/>
      </patternFill>
    </fill>
    <fill>
      <patternFill patternType="solid">
        <fgColor rgb="FFFFFF00"/>
        <bgColor indexed="64"/>
      </patternFill>
    </fill>
  </fills>
  <borders count="12">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794">
    <xf numFmtId="0" fontId="0" fillId="0" borderId="0"/>
    <xf numFmtId="0" fontId="42" fillId="2" borderId="0" applyNumberFormat="0" applyBorder="0" applyAlignment="0" applyProtection="0"/>
    <xf numFmtId="44" fontId="43" fillId="0" borderId="0" applyFont="0" applyFill="0" applyBorder="0" applyAlignment="0" applyProtection="0"/>
    <xf numFmtId="0" fontId="17" fillId="0" borderId="0"/>
    <xf numFmtId="0" fontId="18" fillId="0" borderId="0"/>
    <xf numFmtId="0" fontId="54" fillId="0" borderId="0" applyNumberFormat="0" applyFill="0" applyBorder="0" applyAlignment="0" applyProtection="0"/>
    <xf numFmtId="44" fontId="18" fillId="0" borderId="0" applyFont="0" applyFill="0" applyBorder="0" applyAlignment="0" applyProtection="0"/>
    <xf numFmtId="0" fontId="16" fillId="0" borderId="0"/>
    <xf numFmtId="0" fontId="15" fillId="0" borderId="0"/>
    <xf numFmtId="0" fontId="14"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1" fillId="0" borderId="0"/>
    <xf numFmtId="0" fontId="63" fillId="0" borderId="0" applyNumberFormat="0" applyFill="0" applyBorder="0" applyAlignment="0" applyProtection="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54" fillId="0" borderId="0" applyNumberFormat="0" applyFill="0" applyBorder="0" applyAlignment="0" applyProtection="0"/>
    <xf numFmtId="0" fontId="10" fillId="0" borderId="0"/>
    <xf numFmtId="0" fontId="10" fillId="0" borderId="0"/>
    <xf numFmtId="0" fontId="10"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92" fillId="0" borderId="0"/>
    <xf numFmtId="0" fontId="93" fillId="0" borderId="0"/>
    <xf numFmtId="0" fontId="18" fillId="0" borderId="0"/>
    <xf numFmtId="0" fontId="42" fillId="2" borderId="0" applyNumberFormat="0" applyBorder="0" applyAlignment="0" applyProtection="0"/>
    <xf numFmtId="44" fontId="18"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cellStyleXfs>
  <cellXfs count="664">
    <xf numFmtId="0" fontId="0" fillId="0" borderId="0" xfId="0"/>
    <xf numFmtId="0" fontId="0" fillId="0" borderId="0" xfId="0" applyBorder="1"/>
    <xf numFmtId="0" fontId="19" fillId="0" borderId="0" xfId="0" applyFont="1" applyAlignment="1">
      <alignment horizontal="center"/>
    </xf>
    <xf numFmtId="0" fontId="0" fillId="0" borderId="0" xfId="0" applyAlignment="1">
      <alignment horizontal="center"/>
    </xf>
    <xf numFmtId="0" fontId="0" fillId="0" borderId="0" xfId="0" applyFill="1" applyBorder="1"/>
    <xf numFmtId="0" fontId="19" fillId="0" borderId="0" xfId="0" applyFont="1" applyAlignment="1" applyProtection="1">
      <alignment horizontal="center"/>
    </xf>
    <xf numFmtId="0" fontId="0" fillId="0" borderId="0" xfId="0" applyProtection="1"/>
    <xf numFmtId="0" fontId="20" fillId="0" borderId="0" xfId="0" applyFont="1" applyProtection="1"/>
    <xf numFmtId="0" fontId="0" fillId="0" borderId="0" xfId="0" applyAlignment="1" applyProtection="1">
      <alignment horizontal="right"/>
    </xf>
    <xf numFmtId="0" fontId="19" fillId="0" borderId="0" xfId="0" applyFont="1" applyProtection="1"/>
    <xf numFmtId="0" fontId="0" fillId="0" borderId="0" xfId="0" applyFill="1" applyBorder="1" applyProtection="1"/>
    <xf numFmtId="0" fontId="19" fillId="0" borderId="0" xfId="0" applyFont="1" applyAlignment="1" applyProtection="1">
      <alignment horizontal="right"/>
    </xf>
    <xf numFmtId="0" fontId="22" fillId="0" borderId="0" xfId="0" applyFont="1" applyFill="1" applyBorder="1" applyAlignment="1" applyProtection="1">
      <alignment horizontal="right"/>
    </xf>
    <xf numFmtId="0" fontId="19" fillId="0" borderId="0" xfId="0" applyFont="1" applyFill="1" applyBorder="1" applyAlignment="1" applyProtection="1">
      <alignment horizontal="right"/>
    </xf>
    <xf numFmtId="0" fontId="22" fillId="0" borderId="0" xfId="0" applyFont="1" applyFill="1" applyBorder="1" applyProtection="1"/>
    <xf numFmtId="1" fontId="19" fillId="0" borderId="0" xfId="0" applyNumberFormat="1" applyFont="1" applyAlignment="1" applyProtection="1">
      <alignment horizontal="center"/>
    </xf>
    <xf numFmtId="0" fontId="0" fillId="0" borderId="0" xfId="0" applyAlignment="1" applyProtection="1">
      <alignment horizontal="center"/>
    </xf>
    <xf numFmtId="164" fontId="0" fillId="0" borderId="0" xfId="0" applyNumberFormat="1" applyAlignment="1" applyProtection="1">
      <alignment horizontal="right"/>
    </xf>
    <xf numFmtId="0" fontId="22" fillId="0" borderId="0" xfId="0" applyFont="1" applyAlignment="1" applyProtection="1">
      <alignment horizontal="center"/>
    </xf>
    <xf numFmtId="0" fontId="23" fillId="0" borderId="0" xfId="0" applyFont="1" applyFill="1" applyBorder="1"/>
    <xf numFmtId="0" fontId="22" fillId="0" borderId="0" xfId="0" applyFont="1" applyFill="1" applyBorder="1" applyAlignment="1" applyProtection="1">
      <alignment horizontal="center"/>
    </xf>
    <xf numFmtId="0" fontId="23" fillId="0" borderId="0" xfId="0" applyFont="1" applyFill="1" applyBorder="1" applyProtection="1"/>
    <xf numFmtId="0" fontId="23" fillId="0" borderId="0" xfId="0" applyFont="1" applyFill="1" applyBorder="1" applyAlignment="1" applyProtection="1">
      <alignment horizontal="right"/>
    </xf>
    <xf numFmtId="1" fontId="19" fillId="0" borderId="0" xfId="0" applyNumberFormat="1" applyFont="1" applyAlignment="1" applyProtection="1">
      <alignment horizontal="right"/>
    </xf>
    <xf numFmtId="0" fontId="23" fillId="0" borderId="0" xfId="0" applyFont="1" applyAlignment="1" applyProtection="1">
      <alignment horizontal="center"/>
    </xf>
    <xf numFmtId="0" fontId="0" fillId="0" borderId="0" xfId="0" applyFill="1"/>
    <xf numFmtId="164" fontId="0" fillId="0" borderId="0" xfId="0" applyNumberFormat="1" applyFill="1"/>
    <xf numFmtId="1" fontId="23" fillId="0" borderId="0" xfId="0" applyNumberFormat="1" applyFont="1" applyAlignment="1" applyProtection="1">
      <alignment horizontal="center"/>
    </xf>
    <xf numFmtId="0" fontId="19" fillId="0" borderId="0" xfId="0" applyFont="1" applyAlignment="1" applyProtection="1">
      <alignment horizontal="center" wrapText="1"/>
    </xf>
    <xf numFmtId="1" fontId="21" fillId="0" borderId="0" xfId="0" applyNumberFormat="1" applyFont="1" applyAlignment="1" applyProtection="1">
      <alignment horizontal="right"/>
    </xf>
    <xf numFmtId="0" fontId="21" fillId="0" borderId="0" xfId="0" applyFont="1" applyProtection="1"/>
    <xf numFmtId="0" fontId="22" fillId="0" borderId="0" xfId="0" applyFont="1" applyFill="1" applyBorder="1" applyAlignment="1" applyProtection="1">
      <alignment horizontal="center" wrapText="1"/>
    </xf>
    <xf numFmtId="164" fontId="23" fillId="0" borderId="0" xfId="0" applyNumberFormat="1" applyFont="1" applyFill="1" applyBorder="1" applyAlignment="1" applyProtection="1">
      <alignment horizontal="center"/>
    </xf>
    <xf numFmtId="0" fontId="0" fillId="0" borderId="0" xfId="0" applyAlignment="1"/>
    <xf numFmtId="0" fontId="0" fillId="0" borderId="0" xfId="0" applyFill="1" applyAlignment="1">
      <alignment horizontal="center"/>
    </xf>
    <xf numFmtId="0" fontId="23" fillId="0" borderId="0" xfId="0" applyFont="1" applyFill="1"/>
    <xf numFmtId="0" fontId="22" fillId="0" borderId="0" xfId="0" applyFont="1" applyFill="1" applyAlignment="1" applyProtection="1">
      <alignment horizontal="center"/>
    </xf>
    <xf numFmtId="165" fontId="23" fillId="0" borderId="0" xfId="0" applyNumberFormat="1" applyFont="1" applyFill="1" applyBorder="1" applyProtection="1"/>
    <xf numFmtId="165" fontId="0" fillId="0" borderId="0" xfId="0" applyNumberFormat="1" applyFill="1" applyBorder="1"/>
    <xf numFmtId="0" fontId="0" fillId="0" borderId="0" xfId="0" applyBorder="1" applyProtection="1"/>
    <xf numFmtId="0" fontId="23" fillId="0" borderId="0" xfId="0" applyFont="1" applyFill="1" applyBorder="1" applyAlignment="1" applyProtection="1">
      <alignment horizontal="center"/>
    </xf>
    <xf numFmtId="164" fontId="0" fillId="0" borderId="0" xfId="0" applyNumberFormat="1"/>
    <xf numFmtId="0" fontId="19" fillId="0" borderId="0" xfId="0" applyFont="1" applyFill="1" applyBorder="1" applyAlignment="1" applyProtection="1">
      <alignment horizontal="center"/>
    </xf>
    <xf numFmtId="0" fontId="0" fillId="0" borderId="0" xfId="0" applyFill="1" applyBorder="1" applyAlignment="1" applyProtection="1">
      <alignment horizontal="center"/>
    </xf>
    <xf numFmtId="164" fontId="19" fillId="0" borderId="0" xfId="0" applyNumberFormat="1" applyFont="1" applyAlignment="1" applyProtection="1">
      <alignment horizontal="center"/>
    </xf>
    <xf numFmtId="164" fontId="21" fillId="0" borderId="0" xfId="0" applyNumberFormat="1" applyFont="1" applyAlignment="1" applyProtection="1">
      <alignment horizontal="center"/>
    </xf>
    <xf numFmtId="0" fontId="0" fillId="0" borderId="0" xfId="0" applyBorder="1" applyAlignment="1">
      <alignment horizontal="center"/>
    </xf>
    <xf numFmtId="164" fontId="22" fillId="0" borderId="0" xfId="0" applyNumberFormat="1" applyFont="1" applyFill="1" applyBorder="1" applyAlignment="1" applyProtection="1">
      <alignment horizontal="center"/>
    </xf>
    <xf numFmtId="0" fontId="27" fillId="0" borderId="0" xfId="0" applyFont="1"/>
    <xf numFmtId="0" fontId="21" fillId="0" borderId="0" xfId="0" applyFont="1"/>
    <xf numFmtId="0" fontId="21" fillId="0" borderId="0" xfId="0" applyFont="1" applyAlignment="1" applyProtection="1">
      <alignment horizontal="right"/>
    </xf>
    <xf numFmtId="2" fontId="0" fillId="0" borderId="0" xfId="0" applyNumberFormat="1" applyProtection="1"/>
    <xf numFmtId="164" fontId="19" fillId="0" borderId="0" xfId="0" applyNumberFormat="1" applyFont="1" applyBorder="1" applyAlignment="1" applyProtection="1">
      <alignment horizontal="center"/>
    </xf>
    <xf numFmtId="0" fontId="0" fillId="0" borderId="0" xfId="0" applyBorder="1" applyAlignment="1" applyProtection="1">
      <alignment horizontal="center"/>
    </xf>
    <xf numFmtId="0" fontId="23" fillId="0" borderId="0" xfId="0" quotePrefix="1" applyFont="1" applyFill="1" applyBorder="1" applyAlignment="1" applyProtection="1">
      <alignment horizontal="center"/>
    </xf>
    <xf numFmtId="0" fontId="22" fillId="0" borderId="0" xfId="0" applyFont="1" applyFill="1" applyBorder="1" applyAlignment="1" applyProtection="1">
      <alignment wrapText="1"/>
    </xf>
    <xf numFmtId="0" fontId="22" fillId="0" borderId="0" xfId="0" applyFont="1" applyAlignment="1" applyProtection="1">
      <alignment horizontal="left"/>
    </xf>
    <xf numFmtId="1" fontId="21" fillId="0" borderId="0" xfId="0" applyNumberFormat="1" applyFont="1" applyAlignment="1" applyProtection="1">
      <alignment horizontal="center"/>
    </xf>
    <xf numFmtId="165" fontId="21" fillId="0" borderId="0" xfId="0" applyNumberFormat="1" applyFont="1" applyProtection="1"/>
    <xf numFmtId="0" fontId="28" fillId="0" borderId="0" xfId="0" applyFont="1" applyProtection="1"/>
    <xf numFmtId="0" fontId="28" fillId="0" borderId="0" xfId="0" applyFont="1" applyAlignment="1" applyProtection="1"/>
    <xf numFmtId="0" fontId="28" fillId="0" borderId="0" xfId="0" applyFont="1" applyBorder="1" applyAlignment="1" applyProtection="1"/>
    <xf numFmtId="0" fontId="28" fillId="0" borderId="0" xfId="0" applyFont="1" applyBorder="1" applyProtection="1"/>
    <xf numFmtId="0" fontId="28" fillId="0" borderId="0" xfId="0" applyFont="1" applyBorder="1"/>
    <xf numFmtId="0" fontId="28" fillId="0" borderId="0" xfId="0" applyFont="1" applyBorder="1" applyAlignment="1">
      <alignment horizontal="center"/>
    </xf>
    <xf numFmtId="0" fontId="28" fillId="0" borderId="0" xfId="0" applyFont="1" applyFill="1" applyBorder="1" applyProtection="1"/>
    <xf numFmtId="0" fontId="28" fillId="0" borderId="0" xfId="0" applyFont="1" applyFill="1" applyBorder="1" applyAlignment="1" applyProtection="1">
      <alignment horizontal="center"/>
    </xf>
    <xf numFmtId="0" fontId="28" fillId="0" borderId="0" xfId="0" applyFont="1" applyFill="1" applyBorder="1" applyAlignment="1" applyProtection="1"/>
    <xf numFmtId="0" fontId="29" fillId="0" borderId="0" xfId="0" applyFont="1" applyFill="1" applyBorder="1" applyAlignment="1" applyProtection="1">
      <alignment horizontal="center"/>
    </xf>
    <xf numFmtId="0" fontId="29" fillId="0" borderId="0" xfId="0" applyFont="1" applyFill="1" applyBorder="1" applyAlignment="1" applyProtection="1"/>
    <xf numFmtId="0" fontId="28" fillId="0" borderId="0" xfId="0" applyFont="1"/>
    <xf numFmtId="0" fontId="28" fillId="0" borderId="0" xfId="0" applyFont="1" applyAlignment="1">
      <alignment horizontal="center"/>
    </xf>
    <xf numFmtId="164" fontId="28" fillId="0" borderId="0" xfId="0" applyNumberFormat="1" applyFont="1" applyFill="1" applyBorder="1" applyAlignment="1" applyProtection="1">
      <alignment horizontal="center"/>
    </xf>
    <xf numFmtId="0" fontId="28" fillId="0" borderId="0" xfId="0" applyFont="1" applyAlignment="1"/>
    <xf numFmtId="2" fontId="28" fillId="0" borderId="0" xfId="0" applyNumberFormat="1" applyFont="1" applyFill="1" applyBorder="1" applyAlignment="1" applyProtection="1">
      <alignment horizontal="center"/>
    </xf>
    <xf numFmtId="2" fontId="29" fillId="0" borderId="0" xfId="0" applyNumberFormat="1" applyFont="1" applyFill="1" applyBorder="1" applyAlignment="1" applyProtection="1">
      <alignment horizontal="center"/>
    </xf>
    <xf numFmtId="166" fontId="29" fillId="0" borderId="0" xfId="0" applyNumberFormat="1" applyFont="1" applyFill="1" applyBorder="1" applyAlignment="1" applyProtection="1">
      <alignment horizontal="center"/>
    </xf>
    <xf numFmtId="0" fontId="28" fillId="0" borderId="0" xfId="0" applyFont="1" applyFill="1" applyAlignment="1">
      <alignment horizontal="center"/>
    </xf>
    <xf numFmtId="0" fontId="29" fillId="0" borderId="0" xfId="0" applyFont="1" applyProtection="1"/>
    <xf numFmtId="2" fontId="29" fillId="0" borderId="0" xfId="0" applyNumberFormat="1" applyFont="1" applyFill="1" applyBorder="1" applyAlignment="1">
      <alignment horizontal="center"/>
    </xf>
    <xf numFmtId="166" fontId="29" fillId="0" borderId="0" xfId="0" applyNumberFormat="1" applyFont="1" applyFill="1" applyBorder="1" applyAlignment="1">
      <alignment horizontal="center"/>
    </xf>
    <xf numFmtId="166" fontId="28" fillId="0" borderId="0" xfId="0" applyNumberFormat="1" applyFont="1" applyFill="1" applyBorder="1" applyAlignment="1" applyProtection="1">
      <alignment horizontal="center"/>
    </xf>
    <xf numFmtId="14" fontId="28" fillId="0" borderId="0" xfId="0" applyNumberFormat="1" applyFont="1" applyBorder="1" applyAlignment="1">
      <alignment horizontal="center"/>
    </xf>
    <xf numFmtId="0" fontId="28" fillId="0" borderId="0" xfId="0" applyFont="1" applyFill="1" applyBorder="1" applyAlignment="1">
      <alignment horizontal="center"/>
    </xf>
    <xf numFmtId="0" fontId="28" fillId="0" borderId="0" xfId="0" applyFont="1" applyBorder="1" applyAlignment="1" applyProtection="1">
      <alignment horizontal="center"/>
    </xf>
    <xf numFmtId="0" fontId="23" fillId="0" borderId="0" xfId="0" applyFont="1" applyAlignment="1" applyProtection="1"/>
    <xf numFmtId="0" fontId="23" fillId="0" borderId="0" xfId="0" applyFont="1" applyFill="1" applyBorder="1" applyAlignment="1" applyProtection="1"/>
    <xf numFmtId="0" fontId="22" fillId="0" borderId="0" xfId="0" applyFont="1" applyFill="1" applyBorder="1" applyAlignment="1" applyProtection="1"/>
    <xf numFmtId="0" fontId="23" fillId="0" borderId="0" xfId="0" applyFont="1" applyFill="1" applyBorder="1" applyAlignment="1" applyProtection="1">
      <alignment horizontal="center" wrapText="1"/>
    </xf>
    <xf numFmtId="165" fontId="22" fillId="0" borderId="0" xfId="0" applyNumberFormat="1" applyFont="1" applyFill="1" applyBorder="1" applyProtection="1"/>
    <xf numFmtId="0" fontId="19" fillId="0" borderId="0" xfId="0" applyFont="1"/>
    <xf numFmtId="0" fontId="21" fillId="0" borderId="0" xfId="0" applyFont="1" applyAlignment="1" applyProtection="1">
      <alignment horizontal="center"/>
    </xf>
    <xf numFmtId="0" fontId="30" fillId="0" borderId="0" xfId="0" applyFont="1" applyProtection="1"/>
    <xf numFmtId="0" fontId="30" fillId="0" borderId="0" xfId="0" applyFont="1"/>
    <xf numFmtId="0" fontId="30" fillId="0" borderId="0" xfId="0" applyFont="1" applyAlignment="1" applyProtection="1">
      <alignment horizontal="center"/>
    </xf>
    <xf numFmtId="0" fontId="30" fillId="0" borderId="0" xfId="0" applyFont="1" applyFill="1" applyBorder="1" applyAlignment="1" applyProtection="1">
      <alignment horizontal="center"/>
    </xf>
    <xf numFmtId="0" fontId="30" fillId="0" borderId="0" xfId="0" applyFont="1" applyFill="1" applyBorder="1" applyAlignment="1" applyProtection="1">
      <alignment horizontal="right"/>
    </xf>
    <xf numFmtId="1" fontId="32" fillId="0" borderId="0" xfId="0" applyNumberFormat="1" applyFont="1" applyAlignment="1" applyProtection="1">
      <alignment horizontal="right"/>
    </xf>
    <xf numFmtId="0" fontId="0" fillId="0" borderId="0" xfId="0" applyAlignment="1">
      <alignment wrapText="1"/>
    </xf>
    <xf numFmtId="0" fontId="33" fillId="0" borderId="0" xfId="0" applyFont="1" applyAlignment="1" applyProtection="1">
      <alignment horizontal="center" wrapText="1"/>
    </xf>
    <xf numFmtId="0" fontId="21" fillId="0" borderId="0" xfId="0" applyFont="1" applyAlignment="1">
      <alignment horizontal="center"/>
    </xf>
    <xf numFmtId="0" fontId="21" fillId="0" borderId="0" xfId="0" applyFont="1" applyFill="1" applyBorder="1" applyAlignment="1">
      <alignment horizontal="center"/>
    </xf>
    <xf numFmtId="0" fontId="18" fillId="0" borderId="0" xfId="0" applyFont="1"/>
    <xf numFmtId="2" fontId="21" fillId="0" borderId="0" xfId="0" applyNumberFormat="1" applyFont="1" applyFill="1" applyBorder="1" applyAlignment="1" applyProtection="1">
      <alignment horizontal="center"/>
    </xf>
    <xf numFmtId="1" fontId="19" fillId="0" borderId="0" xfId="0" applyNumberFormat="1" applyFont="1" applyBorder="1" applyAlignment="1" applyProtection="1">
      <alignment horizontal="center"/>
    </xf>
    <xf numFmtId="164" fontId="19" fillId="0" borderId="0" xfId="0" applyNumberFormat="1" applyFont="1" applyBorder="1" applyAlignment="1" applyProtection="1">
      <alignment horizontal="right"/>
    </xf>
    <xf numFmtId="164" fontId="23" fillId="0" borderId="0" xfId="0" applyNumberFormat="1" applyFont="1" applyFill="1"/>
    <xf numFmtId="0" fontId="35" fillId="0" borderId="0" xfId="0" applyFont="1" applyAlignment="1">
      <alignment horizontal="justify"/>
    </xf>
    <xf numFmtId="2" fontId="28" fillId="0" borderId="0" xfId="0" applyNumberFormat="1" applyFont="1" applyFill="1" applyBorder="1" applyAlignment="1" applyProtection="1">
      <alignment horizontal="left"/>
    </xf>
    <xf numFmtId="0" fontId="21" fillId="0" borderId="0" xfId="0" applyFont="1" applyAlignment="1"/>
    <xf numFmtId="0" fontId="34" fillId="0" borderId="0" xfId="0" applyFont="1" applyAlignment="1">
      <alignment horizontal="center"/>
    </xf>
    <xf numFmtId="0" fontId="21" fillId="0" borderId="0" xfId="0" applyFont="1" applyFill="1" applyAlignment="1">
      <alignment horizontal="center"/>
    </xf>
    <xf numFmtId="0" fontId="21" fillId="0" borderId="0" xfId="0" applyFont="1" applyFill="1" applyBorder="1" applyAlignment="1" applyProtection="1">
      <alignment horizontal="center"/>
    </xf>
    <xf numFmtId="0" fontId="21" fillId="0" borderId="0" xfId="0" applyFont="1" applyAlignment="1" applyProtection="1">
      <alignment horizontal="left"/>
    </xf>
    <xf numFmtId="2" fontId="21" fillId="0" borderId="0" xfId="0" applyNumberFormat="1" applyFont="1" applyAlignment="1" applyProtection="1">
      <alignment horizontal="left"/>
    </xf>
    <xf numFmtId="0" fontId="0" fillId="0" borderId="0" xfId="0" applyFill="1" applyBorder="1" applyAlignment="1" applyProtection="1">
      <alignment horizontal="left"/>
    </xf>
    <xf numFmtId="1" fontId="0" fillId="0" borderId="0" xfId="0" applyNumberFormat="1"/>
    <xf numFmtId="1" fontId="21" fillId="0" borderId="0" xfId="0" applyNumberFormat="1" applyFont="1" applyProtection="1"/>
    <xf numFmtId="1" fontId="0" fillId="0" borderId="0" xfId="0" applyNumberFormat="1" applyBorder="1"/>
    <xf numFmtId="0" fontId="21" fillId="0" borderId="0" xfId="0" applyFont="1" applyBorder="1" applyAlignment="1">
      <alignment horizontal="left" wrapText="1"/>
    </xf>
    <xf numFmtId="1" fontId="37" fillId="0" borderId="0" xfId="0" applyNumberFormat="1" applyFont="1" applyAlignment="1" applyProtection="1">
      <alignment horizontal="right"/>
    </xf>
    <xf numFmtId="0" fontId="37" fillId="0" borderId="0" xfId="0" applyFont="1" applyProtection="1"/>
    <xf numFmtId="0" fontId="38" fillId="0" borderId="0" xfId="0" applyFont="1"/>
    <xf numFmtId="0" fontId="38" fillId="0" borderId="0" xfId="0" applyFont="1" applyProtection="1"/>
    <xf numFmtId="0" fontId="19" fillId="0" borderId="0" xfId="0" applyFont="1" applyFill="1" applyBorder="1" applyAlignment="1" applyProtection="1">
      <alignment horizontal="center" wrapText="1"/>
    </xf>
    <xf numFmtId="0" fontId="18" fillId="0" borderId="0" xfId="0" applyFont="1" applyFill="1" applyAlignment="1">
      <alignment horizontal="center"/>
    </xf>
    <xf numFmtId="0" fontId="38" fillId="0" borderId="0" xfId="0" applyFont="1" applyAlignment="1" applyProtection="1">
      <alignment horizontal="center"/>
    </xf>
    <xf numFmtId="0" fontId="38" fillId="0" borderId="0" xfId="0" applyFont="1" applyFill="1" applyBorder="1" applyAlignment="1" applyProtection="1">
      <alignment horizontal="center"/>
    </xf>
    <xf numFmtId="0" fontId="38" fillId="0" borderId="0" xfId="0" applyFont="1" applyFill="1" applyBorder="1" applyAlignment="1" applyProtection="1">
      <alignment horizontal="right"/>
    </xf>
    <xf numFmtId="0" fontId="18" fillId="0" borderId="0" xfId="0" applyFont="1" applyAlignment="1">
      <alignment horizontal="center"/>
    </xf>
    <xf numFmtId="0" fontId="18" fillId="0" borderId="0" xfId="0" applyFont="1" applyAlignment="1"/>
    <xf numFmtId="0" fontId="39" fillId="0" borderId="0" xfId="0" applyFont="1" applyFill="1" applyBorder="1"/>
    <xf numFmtId="0" fontId="18" fillId="0" borderId="0" xfId="0" applyFont="1" applyProtection="1"/>
    <xf numFmtId="164" fontId="18" fillId="0" borderId="0" xfId="0" applyNumberFormat="1" applyFont="1" applyAlignment="1" applyProtection="1">
      <alignment horizontal="center"/>
    </xf>
    <xf numFmtId="0" fontId="40" fillId="0" borderId="0" xfId="0" applyFont="1" applyProtection="1"/>
    <xf numFmtId="0" fontId="40" fillId="0" borderId="0" xfId="0" applyFont="1"/>
    <xf numFmtId="1" fontId="18" fillId="0" borderId="0" xfId="0" applyNumberFormat="1" applyFont="1" applyAlignment="1" applyProtection="1">
      <alignment horizontal="center"/>
    </xf>
    <xf numFmtId="1" fontId="18" fillId="0" borderId="0" xfId="0" applyNumberFormat="1" applyFont="1" applyAlignment="1">
      <alignment horizontal="center"/>
    </xf>
    <xf numFmtId="1" fontId="18" fillId="0" borderId="0" xfId="0" applyNumberFormat="1" applyFont="1"/>
    <xf numFmtId="164" fontId="18" fillId="0" borderId="0" xfId="0" applyNumberFormat="1" applyFont="1"/>
    <xf numFmtId="164" fontId="18" fillId="0" borderId="0" xfId="0" applyNumberFormat="1" applyFont="1" applyAlignment="1" applyProtection="1">
      <alignment horizontal="right"/>
    </xf>
    <xf numFmtId="0" fontId="34" fillId="0" borderId="0" xfId="0" applyFont="1" applyFill="1" applyBorder="1" applyAlignment="1">
      <alignment horizontal="center"/>
    </xf>
    <xf numFmtId="0" fontId="18" fillId="0" borderId="0" xfId="0" applyFont="1" applyFill="1" applyBorder="1" applyAlignment="1" applyProtection="1">
      <alignment horizontal="center"/>
    </xf>
    <xf numFmtId="0" fontId="18" fillId="0" borderId="0" xfId="0" applyFont="1" applyAlignment="1" applyProtection="1">
      <alignment horizontal="center"/>
    </xf>
    <xf numFmtId="0" fontId="28" fillId="0" borderId="0" xfId="0" applyNumberFormat="1" applyFont="1" applyFill="1" applyBorder="1" applyAlignment="1" applyProtection="1">
      <alignment horizontal="center"/>
    </xf>
    <xf numFmtId="0" fontId="29" fillId="0" borderId="0" xfId="0" applyNumberFormat="1" applyFont="1" applyFill="1" applyBorder="1" applyAlignment="1" applyProtection="1">
      <alignment horizontal="center"/>
    </xf>
    <xf numFmtId="0" fontId="28" fillId="0" borderId="0" xfId="0" applyNumberFormat="1" applyFont="1" applyFill="1" applyBorder="1" applyAlignment="1">
      <alignment horizontal="center"/>
    </xf>
    <xf numFmtId="0" fontId="28" fillId="0" borderId="0" xfId="0" applyNumberFormat="1" applyFont="1" applyBorder="1" applyAlignment="1">
      <alignment horizontal="center"/>
    </xf>
    <xf numFmtId="0" fontId="28" fillId="0" borderId="0" xfId="0" applyNumberFormat="1" applyFont="1" applyAlignment="1">
      <alignment horizontal="center"/>
    </xf>
    <xf numFmtId="0" fontId="28" fillId="0" borderId="0" xfId="0" applyNumberFormat="1" applyFont="1"/>
    <xf numFmtId="0" fontId="0" fillId="0" borderId="0" xfId="0" applyNumberFormat="1"/>
    <xf numFmtId="164" fontId="21" fillId="0" borderId="0" xfId="0" applyNumberFormat="1" applyFont="1" applyFill="1" applyAlignment="1" applyProtection="1">
      <alignment horizontal="center"/>
    </xf>
    <xf numFmtId="165" fontId="23" fillId="0" borderId="0" xfId="0" applyNumberFormat="1" applyFont="1" applyFill="1" applyBorder="1" applyAlignment="1" applyProtection="1">
      <alignment horizontal="center"/>
    </xf>
    <xf numFmtId="165" fontId="0" fillId="0" borderId="0" xfId="0" applyNumberFormat="1" applyFill="1" applyBorder="1" applyAlignment="1">
      <alignment horizontal="center"/>
    </xf>
    <xf numFmtId="165" fontId="42" fillId="0" borderId="0" xfId="1" applyNumberFormat="1" applyFill="1" applyBorder="1" applyProtection="1"/>
    <xf numFmtId="1" fontId="23" fillId="0" borderId="0" xfId="0" applyNumberFormat="1" applyFont="1" applyFill="1" applyBorder="1" applyAlignment="1" applyProtection="1">
      <alignment horizontal="center"/>
    </xf>
    <xf numFmtId="44" fontId="23" fillId="0" borderId="0" xfId="2" applyFont="1" applyFill="1" applyBorder="1" applyAlignment="1" applyProtection="1">
      <alignment horizontal="center"/>
    </xf>
    <xf numFmtId="44" fontId="0" fillId="0" borderId="0" xfId="2" applyFont="1"/>
    <xf numFmtId="169" fontId="23" fillId="0" borderId="0" xfId="0" applyNumberFormat="1" applyFont="1" applyFill="1" applyBorder="1" applyAlignment="1" applyProtection="1">
      <alignment horizontal="center"/>
    </xf>
    <xf numFmtId="0" fontId="18" fillId="0" borderId="0" xfId="0" applyFont="1"/>
    <xf numFmtId="0" fontId="18" fillId="0" borderId="0" xfId="0" applyFont="1" applyAlignment="1">
      <alignment horizontal="center"/>
    </xf>
    <xf numFmtId="0" fontId="47" fillId="0" borderId="0" xfId="0" applyFont="1"/>
    <xf numFmtId="1" fontId="38" fillId="0" borderId="0" xfId="0" applyNumberFormat="1" applyFont="1" applyAlignment="1">
      <alignment horizontal="center"/>
    </xf>
    <xf numFmtId="165" fontId="18" fillId="0" borderId="0" xfId="0" applyNumberFormat="1" applyFont="1" applyFill="1" applyBorder="1" applyProtection="1"/>
    <xf numFmtId="2" fontId="18" fillId="0" borderId="0" xfId="0" applyNumberFormat="1" applyFont="1"/>
    <xf numFmtId="165" fontId="41" fillId="0" borderId="0" xfId="1" applyNumberFormat="1" applyFont="1" applyFill="1" applyBorder="1" applyProtection="1"/>
    <xf numFmtId="164" fontId="19" fillId="0" borderId="2" xfId="0" applyNumberFormat="1" applyFont="1" applyBorder="1" applyAlignment="1" applyProtection="1">
      <alignment horizontal="center"/>
    </xf>
    <xf numFmtId="0" fontId="37" fillId="0" borderId="0" xfId="0" applyFont="1" applyFill="1" applyBorder="1" applyProtection="1"/>
    <xf numFmtId="0" fontId="24" fillId="0" borderId="0" xfId="0" applyFont="1" applyAlignment="1">
      <alignment horizontal="left"/>
    </xf>
    <xf numFmtId="0" fontId="45" fillId="0" borderId="0" xfId="0" applyFont="1" applyAlignment="1"/>
    <xf numFmtId="0" fontId="45" fillId="0" borderId="0" xfId="0" applyFont="1"/>
    <xf numFmtId="164" fontId="21" fillId="0" borderId="0" xfId="0" applyNumberFormat="1" applyFont="1" applyAlignment="1">
      <alignment horizontal="center"/>
    </xf>
    <xf numFmtId="0" fontId="18" fillId="0" borderId="0" xfId="0" applyFont="1" applyBorder="1" applyAlignment="1">
      <alignment horizontal="center"/>
    </xf>
    <xf numFmtId="0" fontId="49" fillId="0" borderId="0" xfId="0" applyFont="1" applyFill="1" applyAlignment="1" applyProtection="1">
      <alignment horizontal="center"/>
    </xf>
    <xf numFmtId="0" fontId="50" fillId="0" borderId="0" xfId="0" applyFont="1" applyAlignment="1">
      <alignment horizontal="left"/>
    </xf>
    <xf numFmtId="0" fontId="51" fillId="0" borderId="0" xfId="0" applyFont="1"/>
    <xf numFmtId="0" fontId="50" fillId="0" borderId="0" xfId="0" applyFont="1"/>
    <xf numFmtId="0" fontId="52" fillId="0" borderId="0" xfId="0" applyFont="1"/>
    <xf numFmtId="0" fontId="0" fillId="0" borderId="0" xfId="0" applyFont="1" applyFill="1" applyAlignment="1">
      <alignment horizontal="center"/>
    </xf>
    <xf numFmtId="0" fontId="19" fillId="0" borderId="0" xfId="0" applyFont="1" applyFill="1" applyBorder="1" applyAlignment="1">
      <alignment horizontal="center"/>
    </xf>
    <xf numFmtId="0" fontId="19" fillId="0" borderId="0" xfId="0" applyFont="1" applyFill="1" applyBorder="1" applyAlignment="1">
      <alignment horizontal="right"/>
    </xf>
    <xf numFmtId="0" fontId="19" fillId="0" borderId="0" xfId="0" applyFont="1" applyFill="1" applyBorder="1" applyAlignment="1">
      <alignment horizontal="left"/>
    </xf>
    <xf numFmtId="0" fontId="0" fillId="0" borderId="0" xfId="0" applyFont="1" applyAlignment="1">
      <alignment horizontal="center"/>
    </xf>
    <xf numFmtId="0" fontId="0" fillId="0" borderId="0" xfId="0" quotePrefix="1" applyFont="1" applyAlignment="1">
      <alignment horizontal="center"/>
    </xf>
    <xf numFmtId="0" fontId="27" fillId="0" borderId="0" xfId="0" applyFont="1" applyAlignment="1" applyProtection="1"/>
    <xf numFmtId="0" fontId="24" fillId="0" borderId="0" xfId="0" applyFont="1"/>
    <xf numFmtId="0" fontId="45" fillId="0" borderId="0" xfId="0" applyFont="1" applyAlignment="1">
      <alignment horizontal="center"/>
    </xf>
    <xf numFmtId="0" fontId="21" fillId="0" borderId="0" xfId="0" applyFont="1" applyAlignment="1">
      <alignment horizontal="left"/>
    </xf>
    <xf numFmtId="0" fontId="18" fillId="0" borderId="2" xfId="0" applyFont="1" applyBorder="1" applyAlignment="1">
      <alignment horizontal="center" wrapText="1"/>
    </xf>
    <xf numFmtId="0" fontId="44" fillId="4" borderId="0" xfId="0" applyFont="1" applyFill="1" applyBorder="1"/>
    <xf numFmtId="1" fontId="34" fillId="0" borderId="0" xfId="0" applyNumberFormat="1" applyFont="1" applyAlignment="1">
      <alignment horizontal="center"/>
    </xf>
    <xf numFmtId="1" fontId="21" fillId="0" borderId="0" xfId="0" applyNumberFormat="1" applyFont="1" applyAlignment="1">
      <alignment horizontal="center"/>
    </xf>
    <xf numFmtId="44" fontId="25" fillId="0" borderId="0" xfId="0" applyNumberFormat="1" applyFont="1" applyBorder="1" applyAlignment="1" applyProtection="1">
      <alignment horizontal="center"/>
    </xf>
    <xf numFmtId="0" fontId="23" fillId="0" borderId="0" xfId="0" applyFont="1" applyFill="1" applyBorder="1" applyAlignment="1" applyProtection="1">
      <alignment horizontal="left" wrapText="1"/>
    </xf>
    <xf numFmtId="1" fontId="19" fillId="0" borderId="0" xfId="0" applyNumberFormat="1" applyFont="1" applyAlignment="1" applyProtection="1">
      <alignment horizontal="center"/>
    </xf>
    <xf numFmtId="0" fontId="41" fillId="0" borderId="0" xfId="1" applyFont="1" applyFill="1" applyBorder="1" applyAlignment="1" applyProtection="1">
      <alignment horizontal="center"/>
    </xf>
    <xf numFmtId="2" fontId="38" fillId="0" borderId="0" xfId="0" applyNumberFormat="1" applyFont="1" applyProtection="1"/>
    <xf numFmtId="1" fontId="19" fillId="0" borderId="0" xfId="0" applyNumberFormat="1" applyFont="1" applyAlignment="1" applyProtection="1">
      <alignment horizontal="left"/>
    </xf>
    <xf numFmtId="0" fontId="44" fillId="0" borderId="2" xfId="1" applyFont="1" applyFill="1" applyBorder="1" applyAlignment="1" applyProtection="1">
      <alignment horizontal="center"/>
    </xf>
    <xf numFmtId="0" fontId="55" fillId="0" borderId="2" xfId="1" applyFont="1" applyFill="1" applyBorder="1" applyAlignment="1" applyProtection="1">
      <alignment horizontal="center"/>
    </xf>
    <xf numFmtId="0" fontId="55" fillId="0" borderId="2" xfId="1" applyFont="1" applyFill="1" applyBorder="1" applyAlignment="1">
      <alignment horizontal="center"/>
    </xf>
    <xf numFmtId="164" fontId="61" fillId="0" borderId="2" xfId="1" applyNumberFormat="1" applyFont="1" applyFill="1" applyBorder="1" applyAlignment="1" applyProtection="1">
      <alignment horizontal="center"/>
    </xf>
    <xf numFmtId="165" fontId="23" fillId="0" borderId="0" xfId="0" applyNumberFormat="1" applyFont="1" applyFill="1" applyBorder="1" applyAlignment="1" applyProtection="1">
      <alignment horizontal="left"/>
    </xf>
    <xf numFmtId="164" fontId="23" fillId="0" borderId="0" xfId="0" applyNumberFormat="1" applyFont="1" applyFill="1" applyBorder="1" applyAlignment="1" applyProtection="1">
      <alignment horizontal="left"/>
    </xf>
    <xf numFmtId="0" fontId="59" fillId="0" borderId="0" xfId="0" applyFont="1"/>
    <xf numFmtId="0" fontId="48" fillId="0" borderId="0" xfId="0" applyFont="1" applyAlignment="1">
      <alignment horizontal="center"/>
    </xf>
    <xf numFmtId="0" fontId="48" fillId="0" borderId="0" xfId="0" applyFont="1" applyAlignment="1" applyProtection="1">
      <alignment horizontal="right"/>
    </xf>
    <xf numFmtId="0" fontId="19" fillId="0" borderId="0" xfId="0" applyFont="1" applyAlignment="1" applyProtection="1">
      <alignment horizontal="center"/>
    </xf>
    <xf numFmtId="0" fontId="0" fillId="0" borderId="0" xfId="0" applyProtection="1"/>
    <xf numFmtId="0" fontId="19" fillId="0" borderId="0" xfId="0" applyFont="1" applyProtection="1"/>
    <xf numFmtId="1" fontId="19" fillId="0" borderId="0" xfId="0" applyNumberFormat="1" applyFont="1" applyAlignment="1" applyProtection="1">
      <alignment horizontal="center"/>
    </xf>
    <xf numFmtId="0" fontId="22" fillId="0" borderId="0" xfId="0" applyFont="1" applyAlignment="1" applyProtection="1">
      <alignment horizontal="center"/>
    </xf>
    <xf numFmtId="1" fontId="23" fillId="0" borderId="0" xfId="0" applyNumberFormat="1" applyFont="1" applyAlignment="1" applyProtection="1">
      <alignment horizontal="right"/>
    </xf>
    <xf numFmtId="1" fontId="22" fillId="0" borderId="0" xfId="0" applyNumberFormat="1" applyFont="1" applyAlignment="1" applyProtection="1">
      <alignment horizontal="center"/>
    </xf>
    <xf numFmtId="0" fontId="0" fillId="0" borderId="0" xfId="0" applyAlignment="1">
      <alignment vertical="top" wrapText="1"/>
    </xf>
    <xf numFmtId="1" fontId="32" fillId="0" borderId="0" xfId="0" applyNumberFormat="1" applyFont="1" applyAlignment="1" applyProtection="1">
      <alignment horizontal="center"/>
    </xf>
    <xf numFmtId="0" fontId="32" fillId="0" borderId="0" xfId="0" applyFont="1" applyAlignment="1" applyProtection="1">
      <alignment horizontal="center"/>
    </xf>
    <xf numFmtId="0" fontId="18" fillId="0" borderId="0" xfId="4" applyFont="1" applyAlignment="1">
      <alignment horizontal="left"/>
    </xf>
    <xf numFmtId="0" fontId="18" fillId="0" borderId="0" xfId="4" applyFont="1" applyAlignment="1">
      <alignment horizontal="left" wrapText="1"/>
    </xf>
    <xf numFmtId="0" fontId="64" fillId="0" borderId="0" xfId="4" applyFont="1" applyAlignment="1">
      <alignment horizontal="left"/>
    </xf>
    <xf numFmtId="0" fontId="41" fillId="0" borderId="2" xfId="1" applyFont="1" applyFill="1" applyBorder="1" applyAlignment="1" applyProtection="1">
      <alignment horizontal="center"/>
    </xf>
    <xf numFmtId="0" fontId="60" fillId="0" borderId="2" xfId="0" applyFont="1" applyBorder="1" applyAlignment="1" applyProtection="1">
      <alignment horizontal="left"/>
    </xf>
    <xf numFmtId="0" fontId="60" fillId="0" borderId="2" xfId="0" applyFont="1" applyBorder="1" applyAlignment="1">
      <alignment horizontal="left"/>
    </xf>
    <xf numFmtId="0" fontId="60" fillId="0" borderId="2" xfId="0" applyFont="1" applyFill="1" applyBorder="1" applyAlignment="1" applyProtection="1">
      <alignment horizontal="left"/>
    </xf>
    <xf numFmtId="0" fontId="60" fillId="0" borderId="2" xfId="0" applyFont="1" applyFill="1" applyBorder="1" applyAlignment="1" applyProtection="1">
      <alignment horizontal="left" wrapText="1"/>
    </xf>
    <xf numFmtId="1" fontId="25" fillId="0" borderId="0" xfId="0" applyNumberFormat="1" applyFont="1"/>
    <xf numFmtId="1" fontId="25" fillId="0" borderId="0" xfId="0" applyNumberFormat="1" applyFont="1" applyProtection="1"/>
    <xf numFmtId="1" fontId="58" fillId="0" borderId="0" xfId="0" applyNumberFormat="1" applyFont="1" applyAlignment="1" applyProtection="1">
      <alignment horizontal="center"/>
    </xf>
    <xf numFmtId="0" fontId="21" fillId="5" borderId="0" xfId="0" applyFont="1" applyFill="1" applyProtection="1"/>
    <xf numFmtId="0" fontId="18" fillId="0" borderId="0" xfId="0" applyFont="1" applyBorder="1" applyAlignment="1">
      <alignment horizontal="center" wrapText="1"/>
    </xf>
    <xf numFmtId="0" fontId="66" fillId="0" borderId="0" xfId="0" applyFont="1" applyFill="1" applyBorder="1" applyProtection="1"/>
    <xf numFmtId="0" fontId="56" fillId="0" borderId="0" xfId="0" applyFont="1" applyProtection="1"/>
    <xf numFmtId="0" fontId="0" fillId="5" borderId="0" xfId="0" applyFill="1" applyAlignment="1" applyProtection="1">
      <alignment horizontal="right"/>
    </xf>
    <xf numFmtId="1" fontId="62" fillId="0" borderId="0" xfId="0" applyNumberFormat="1" applyFont="1" applyAlignment="1" applyProtection="1">
      <alignment horizontal="left"/>
    </xf>
    <xf numFmtId="0" fontId="60" fillId="0" borderId="2" xfId="0" applyFont="1" applyBorder="1" applyAlignment="1" applyProtection="1">
      <alignment horizontal="left" wrapText="1"/>
    </xf>
    <xf numFmtId="2" fontId="19" fillId="0" borderId="0" xfId="0" applyNumberFormat="1" applyFont="1" applyAlignment="1" applyProtection="1">
      <alignment horizontal="center"/>
    </xf>
    <xf numFmtId="166" fontId="32" fillId="0" borderId="0" xfId="0" applyNumberFormat="1" applyFont="1" applyAlignment="1" applyProtection="1">
      <alignment horizontal="center"/>
    </xf>
    <xf numFmtId="170" fontId="19" fillId="0" borderId="0" xfId="0" applyNumberFormat="1" applyFont="1" applyAlignment="1" applyProtection="1">
      <alignment horizontal="center"/>
    </xf>
    <xf numFmtId="165" fontId="23" fillId="0" borderId="0" xfId="0" applyNumberFormat="1" applyFont="1" applyFill="1" applyBorder="1" applyAlignment="1" applyProtection="1">
      <alignment horizontal="left"/>
    </xf>
    <xf numFmtId="0" fontId="57" fillId="0" borderId="0" xfId="0" applyFont="1"/>
    <xf numFmtId="0" fontId="0" fillId="5" borderId="2" xfId="0" applyFill="1" applyBorder="1" applyProtection="1"/>
    <xf numFmtId="0" fontId="0" fillId="5" borderId="2" xfId="0" applyFill="1" applyBorder="1" applyAlignment="1" applyProtection="1">
      <alignment horizontal="center"/>
    </xf>
    <xf numFmtId="0" fontId="19" fillId="5" borderId="2" xfId="0" applyFont="1" applyFill="1" applyBorder="1" applyProtection="1"/>
    <xf numFmtId="0" fontId="21" fillId="5" borderId="2" xfId="0" applyFont="1" applyFill="1" applyBorder="1" applyProtection="1"/>
    <xf numFmtId="1" fontId="0" fillId="5" borderId="2" xfId="0" applyNumberFormat="1" applyFill="1" applyBorder="1" applyProtection="1"/>
    <xf numFmtId="0" fontId="19" fillId="5" borderId="2" xfId="0" applyFont="1" applyFill="1" applyBorder="1" applyAlignment="1" applyProtection="1">
      <alignment horizontal="center"/>
    </xf>
    <xf numFmtId="0" fontId="0" fillId="0" borderId="2" xfId="0" applyBorder="1"/>
    <xf numFmtId="1" fontId="19" fillId="5" borderId="2" xfId="0" applyNumberFormat="1" applyFont="1" applyFill="1" applyBorder="1" applyAlignment="1" applyProtection="1">
      <alignment horizontal="center"/>
    </xf>
    <xf numFmtId="0" fontId="26" fillId="0" borderId="2" xfId="0" applyFont="1" applyBorder="1"/>
    <xf numFmtId="0" fontId="19" fillId="5" borderId="2" xfId="0" applyFont="1" applyFill="1" applyBorder="1" applyAlignment="1" applyProtection="1">
      <alignment horizontal="center" wrapText="1"/>
    </xf>
    <xf numFmtId="0" fontId="19" fillId="5" borderId="2" xfId="0" applyFont="1" applyFill="1" applyBorder="1" applyAlignment="1">
      <alignment horizontal="center"/>
    </xf>
    <xf numFmtId="0" fontId="19" fillId="0" borderId="2" xfId="0" applyFont="1" applyBorder="1" applyAlignment="1" applyProtection="1">
      <alignment horizontal="center"/>
    </xf>
    <xf numFmtId="164" fontId="59" fillId="5" borderId="2" xfId="0" applyNumberFormat="1" applyFont="1" applyFill="1" applyBorder="1" applyAlignment="1" applyProtection="1">
      <alignment horizontal="center"/>
    </xf>
    <xf numFmtId="1" fontId="59" fillId="5" borderId="2" xfId="0" applyNumberFormat="1" applyFont="1" applyFill="1" applyBorder="1" applyAlignment="1">
      <alignment horizontal="center"/>
    </xf>
    <xf numFmtId="164" fontId="59" fillId="0" borderId="2" xfId="0" applyNumberFormat="1" applyFont="1" applyBorder="1" applyAlignment="1">
      <alignment horizontal="right" indent="3"/>
    </xf>
    <xf numFmtId="0" fontId="21" fillId="0" borderId="0" xfId="0" applyFont="1" applyAlignment="1">
      <alignment wrapText="1"/>
    </xf>
    <xf numFmtId="1" fontId="21" fillId="0" borderId="0" xfId="0" applyNumberFormat="1" applyFont="1" applyAlignment="1" applyProtection="1">
      <alignment horizontal="center" wrapText="1"/>
    </xf>
    <xf numFmtId="0" fontId="21" fillId="0" borderId="0" xfId="0" applyFont="1" applyAlignment="1" applyProtection="1">
      <alignment wrapText="1"/>
    </xf>
    <xf numFmtId="1" fontId="21" fillId="0" borderId="0" xfId="0" applyNumberFormat="1" applyFont="1" applyAlignment="1" applyProtection="1">
      <alignment wrapText="1"/>
    </xf>
    <xf numFmtId="0" fontId="21" fillId="0" borderId="0" xfId="0" applyFont="1" applyAlignment="1" applyProtection="1">
      <alignment horizontal="center" wrapText="1"/>
    </xf>
    <xf numFmtId="0" fontId="60" fillId="0" borderId="0" xfId="0" applyFont="1" applyFill="1" applyBorder="1" applyAlignment="1" applyProtection="1">
      <alignment horizontal="left" wrapText="1"/>
    </xf>
    <xf numFmtId="0" fontId="58" fillId="0" borderId="0" xfId="0" applyFont="1" applyAlignment="1">
      <alignment horizontal="left" wrapText="1"/>
    </xf>
    <xf numFmtId="0" fontId="56" fillId="0" borderId="0" xfId="0" applyFont="1" applyAlignment="1">
      <alignment horizontal="left"/>
    </xf>
    <xf numFmtId="0" fontId="68" fillId="0" borderId="0" xfId="0" applyFont="1" applyAlignment="1" applyProtection="1">
      <alignment wrapText="1"/>
    </xf>
    <xf numFmtId="0" fontId="56" fillId="0" borderId="0" xfId="0" applyFont="1" applyAlignment="1">
      <alignment wrapText="1"/>
    </xf>
    <xf numFmtId="0" fontId="56" fillId="0" borderId="0" xfId="0" applyFont="1" applyFill="1"/>
    <xf numFmtId="1" fontId="59" fillId="5" borderId="2" xfId="0" applyNumberFormat="1" applyFont="1" applyFill="1" applyBorder="1" applyAlignment="1" applyProtection="1">
      <alignment horizontal="center"/>
    </xf>
    <xf numFmtId="0" fontId="9" fillId="0" borderId="0" xfId="40"/>
    <xf numFmtId="0" fontId="62" fillId="0" borderId="2" xfId="0" applyFont="1" applyFill="1" applyBorder="1" applyProtection="1"/>
    <xf numFmtId="0" fontId="57" fillId="0" borderId="2" xfId="0" applyFont="1" applyFill="1" applyBorder="1" applyAlignment="1" applyProtection="1">
      <alignment horizontal="center"/>
    </xf>
    <xf numFmtId="0" fontId="57" fillId="0" borderId="2" xfId="0" applyFont="1" applyBorder="1" applyAlignment="1" applyProtection="1">
      <alignment horizontal="center"/>
    </xf>
    <xf numFmtId="0" fontId="57" fillId="0" borderId="2" xfId="0" applyFont="1" applyBorder="1" applyProtection="1"/>
    <xf numFmtId="164" fontId="59" fillId="5" borderId="2" xfId="0" applyNumberFormat="1" applyFont="1" applyFill="1" applyBorder="1" applyAlignment="1">
      <alignment horizontal="center"/>
    </xf>
    <xf numFmtId="164" fontId="18" fillId="5" borderId="2" xfId="0" applyNumberFormat="1" applyFont="1" applyFill="1" applyBorder="1" applyAlignment="1" applyProtection="1">
      <alignment horizontal="center"/>
    </xf>
    <xf numFmtId="2" fontId="18" fillId="0" borderId="0" xfId="4" applyNumberFormat="1"/>
    <xf numFmtId="0" fontId="18" fillId="0" borderId="0" xfId="4"/>
    <xf numFmtId="0" fontId="22" fillId="0" borderId="0" xfId="4" applyFont="1" applyFill="1" applyBorder="1" applyProtection="1"/>
    <xf numFmtId="0" fontId="23" fillId="0" borderId="0" xfId="4" applyFont="1" applyProtection="1"/>
    <xf numFmtId="0" fontId="22" fillId="0" borderId="0" xfId="4" applyFont="1" applyFill="1" applyBorder="1" applyAlignment="1" applyProtection="1">
      <alignment horizontal="center"/>
    </xf>
    <xf numFmtId="0" fontId="23" fillId="0" borderId="0" xfId="4" applyFont="1" applyFill="1" applyBorder="1" applyProtection="1"/>
    <xf numFmtId="0" fontId="23" fillId="0" borderId="0" xfId="4" applyFont="1" applyAlignment="1" applyProtection="1">
      <alignment horizontal="center"/>
    </xf>
    <xf numFmtId="0" fontId="22" fillId="0" borderId="0" xfId="4" applyFont="1" applyFill="1" applyBorder="1" applyAlignment="1" applyProtection="1">
      <alignment horizontal="center" wrapText="1"/>
    </xf>
    <xf numFmtId="2" fontId="28" fillId="0" borderId="0" xfId="4" applyNumberFormat="1" applyFont="1" applyFill="1" applyBorder="1" applyAlignment="1" applyProtection="1">
      <alignment horizontal="center"/>
    </xf>
    <xf numFmtId="0" fontId="22" fillId="0" borderId="0" xfId="4" applyFont="1" applyFill="1" applyBorder="1" applyAlignment="1" applyProtection="1">
      <alignment horizontal="left"/>
    </xf>
    <xf numFmtId="0" fontId="18" fillId="0" borderId="0" xfId="4" applyAlignment="1">
      <alignment horizontal="left"/>
    </xf>
    <xf numFmtId="0" fontId="35" fillId="0" borderId="0" xfId="4" applyFont="1" applyAlignment="1">
      <alignment horizontal="left"/>
    </xf>
    <xf numFmtId="2" fontId="23" fillId="0" borderId="0" xfId="4" applyNumberFormat="1" applyFont="1" applyProtection="1"/>
    <xf numFmtId="0" fontId="23" fillId="0" borderId="0" xfId="4" applyNumberFormat="1" applyFont="1" applyProtection="1"/>
    <xf numFmtId="0" fontId="23" fillId="0" borderId="0" xfId="4" applyNumberFormat="1" applyFont="1" applyFill="1" applyBorder="1" applyProtection="1"/>
    <xf numFmtId="0" fontId="22" fillId="0" borderId="0" xfId="4" applyNumberFormat="1" applyFont="1" applyFill="1" applyBorder="1" applyAlignment="1" applyProtection="1">
      <alignment horizontal="center"/>
    </xf>
    <xf numFmtId="0" fontId="28" fillId="0" borderId="0" xfId="4" applyNumberFormat="1" applyFont="1" applyFill="1" applyBorder="1" applyAlignment="1" applyProtection="1">
      <alignment horizontal="center"/>
    </xf>
    <xf numFmtId="166" fontId="23" fillId="0" borderId="0" xfId="4" applyNumberFormat="1" applyFont="1" applyProtection="1"/>
    <xf numFmtId="2" fontId="35" fillId="0" borderId="0" xfId="4" applyNumberFormat="1" applyFont="1" applyAlignment="1"/>
    <xf numFmtId="2" fontId="36" fillId="0" borderId="0" xfId="4" applyNumberFormat="1" applyFont="1" applyAlignment="1"/>
    <xf numFmtId="0" fontId="53" fillId="0" borderId="0" xfId="4" applyFont="1" applyAlignment="1">
      <alignment horizontal="center" wrapText="1"/>
    </xf>
    <xf numFmtId="0" fontId="53" fillId="0" borderId="0" xfId="4" applyFont="1" applyAlignment="1">
      <alignment horizontal="center" vertical="center"/>
    </xf>
    <xf numFmtId="0" fontId="22" fillId="0" borderId="0" xfId="4" applyNumberFormat="1" applyFont="1" applyFill="1" applyBorder="1" applyAlignment="1" applyProtection="1">
      <alignment horizontal="center" wrapText="1"/>
    </xf>
    <xf numFmtId="2" fontId="23" fillId="0" borderId="0" xfId="4" applyNumberFormat="1" applyFont="1" applyFill="1" applyBorder="1" applyProtection="1"/>
    <xf numFmtId="2" fontId="35" fillId="0" borderId="0" xfId="4" applyNumberFormat="1" applyFont="1" applyAlignment="1"/>
    <xf numFmtId="0" fontId="19" fillId="0" borderId="0" xfId="0" applyFont="1" applyFill="1" applyBorder="1"/>
    <xf numFmtId="0" fontId="60" fillId="0" borderId="2" xfId="0" applyFont="1" applyBorder="1" applyAlignment="1">
      <alignment horizontal="left" wrapText="1"/>
    </xf>
    <xf numFmtId="0" fontId="56" fillId="0" borderId="0" xfId="0" applyFont="1" applyAlignment="1" applyProtection="1">
      <alignment wrapText="1"/>
    </xf>
    <xf numFmtId="0" fontId="25" fillId="0" borderId="0" xfId="0" applyFont="1" applyAlignment="1">
      <alignment horizontal="center"/>
    </xf>
    <xf numFmtId="0" fontId="25" fillId="0" borderId="0" xfId="0" applyFont="1"/>
    <xf numFmtId="0" fontId="73" fillId="0" borderId="0" xfId="0" applyFont="1"/>
    <xf numFmtId="0" fontId="69" fillId="0" borderId="0" xfId="0" applyFont="1"/>
    <xf numFmtId="0" fontId="74" fillId="0" borderId="0" xfId="0" applyFont="1" applyAlignment="1">
      <alignment horizontal="center"/>
    </xf>
    <xf numFmtId="0" fontId="74" fillId="0" borderId="0" xfId="0" applyFont="1" applyFill="1" applyBorder="1" applyAlignment="1">
      <alignment horizontal="center"/>
    </xf>
    <xf numFmtId="0" fontId="74" fillId="0" borderId="0" xfId="0" applyFont="1" applyFill="1" applyBorder="1" applyAlignment="1" applyProtection="1">
      <alignment horizontal="center" wrapText="1"/>
    </xf>
    <xf numFmtId="0" fontId="75" fillId="0" borderId="0" xfId="0" applyFont="1" applyFill="1" applyAlignment="1" applyProtection="1">
      <alignment horizontal="center"/>
    </xf>
    <xf numFmtId="0" fontId="75" fillId="0" borderId="0" xfId="0" applyFont="1" applyFill="1" applyAlignment="1">
      <alignment horizontal="center"/>
    </xf>
    <xf numFmtId="0" fontId="76" fillId="0" borderId="0" xfId="0" applyFont="1" applyFill="1" applyAlignment="1" applyProtection="1">
      <alignment horizontal="center"/>
    </xf>
    <xf numFmtId="0" fontId="76" fillId="0" borderId="0" xfId="0" applyFont="1" applyFill="1" applyAlignment="1">
      <alignment horizontal="center"/>
    </xf>
    <xf numFmtId="0" fontId="74" fillId="0" borderId="0" xfId="0" applyFont="1"/>
    <xf numFmtId="164" fontId="77" fillId="0" borderId="2" xfId="0" applyNumberFormat="1" applyFont="1" applyBorder="1" applyAlignment="1">
      <alignment horizontal="center"/>
    </xf>
    <xf numFmtId="164" fontId="77" fillId="0" borderId="4" xfId="0" applyNumberFormat="1" applyFont="1" applyBorder="1" applyAlignment="1">
      <alignment horizontal="center"/>
    </xf>
    <xf numFmtId="164" fontId="78" fillId="0" borderId="2" xfId="1" applyNumberFormat="1" applyFont="1" applyFill="1" applyBorder="1" applyAlignment="1" applyProtection="1">
      <alignment horizontal="center"/>
    </xf>
    <xf numFmtId="164" fontId="74" fillId="0" borderId="2" xfId="0" applyNumberFormat="1" applyFont="1" applyBorder="1" applyAlignment="1">
      <alignment horizontal="center"/>
    </xf>
    <xf numFmtId="164" fontId="79" fillId="0" borderId="0" xfId="0" applyNumberFormat="1" applyFont="1" applyFill="1" applyAlignment="1" applyProtection="1">
      <alignment horizontal="center"/>
    </xf>
    <xf numFmtId="0" fontId="80" fillId="0" borderId="0" xfId="0" applyFont="1" applyFill="1" applyAlignment="1">
      <alignment horizontal="center"/>
    </xf>
    <xf numFmtId="2" fontId="76" fillId="0" borderId="0" xfId="0" applyNumberFormat="1" applyFont="1" applyFill="1" applyAlignment="1" applyProtection="1">
      <alignment horizontal="center"/>
    </xf>
    <xf numFmtId="0" fontId="81" fillId="0" borderId="0" xfId="0" applyFont="1" applyFill="1" applyAlignment="1">
      <alignment horizontal="center"/>
    </xf>
    <xf numFmtId="164" fontId="77" fillId="0" borderId="3" xfId="0" applyNumberFormat="1" applyFont="1" applyBorder="1" applyAlignment="1">
      <alignment horizontal="center"/>
    </xf>
    <xf numFmtId="164" fontId="77" fillId="0" borderId="5" xfId="0" applyNumberFormat="1" applyFont="1" applyBorder="1" applyAlignment="1">
      <alignment horizontal="center"/>
    </xf>
    <xf numFmtId="0" fontId="82" fillId="0" borderId="0" xfId="0" applyFont="1"/>
    <xf numFmtId="0" fontId="60" fillId="0" borderId="0" xfId="0" applyFont="1" applyProtection="1"/>
    <xf numFmtId="0" fontId="71" fillId="0" borderId="0" xfId="0" applyFont="1" applyFill="1" applyBorder="1" applyAlignment="1" applyProtection="1">
      <alignment horizontal="center" wrapText="1"/>
    </xf>
    <xf numFmtId="0" fontId="60" fillId="0" borderId="0" xfId="0" applyFont="1" applyAlignment="1" applyProtection="1">
      <alignment horizontal="center" wrapText="1"/>
    </xf>
    <xf numFmtId="0" fontId="60" fillId="0" borderId="0" xfId="0" applyFont="1" applyAlignment="1" applyProtection="1">
      <alignment horizontal="center"/>
    </xf>
    <xf numFmtId="0" fontId="25" fillId="0" borderId="0" xfId="0" applyFont="1" applyAlignment="1" applyProtection="1">
      <alignment horizontal="center" wrapText="1"/>
    </xf>
    <xf numFmtId="0" fontId="25" fillId="0" borderId="0" xfId="0" applyFont="1" applyAlignment="1">
      <alignment horizontal="center" wrapText="1"/>
    </xf>
    <xf numFmtId="2" fontId="25" fillId="0" borderId="2" xfId="4" applyNumberFormat="1" applyFont="1" applyBorder="1" applyAlignment="1">
      <alignment horizontal="center"/>
    </xf>
    <xf numFmtId="2" fontId="25" fillId="0" borderId="2" xfId="4" applyNumberFormat="1" applyFont="1" applyFill="1" applyBorder="1" applyAlignment="1" applyProtection="1">
      <alignment horizontal="center"/>
    </xf>
    <xf numFmtId="164" fontId="25" fillId="0" borderId="2" xfId="0" applyNumberFormat="1" applyFont="1" applyBorder="1" applyAlignment="1" applyProtection="1">
      <alignment horizontal="center"/>
    </xf>
    <xf numFmtId="0" fontId="60" fillId="0" borderId="2" xfId="0" applyFont="1" applyBorder="1" applyAlignment="1" applyProtection="1">
      <alignment horizontal="center"/>
    </xf>
    <xf numFmtId="1" fontId="25" fillId="0" borderId="2" xfId="4" applyNumberFormat="1" applyFont="1" applyFill="1" applyBorder="1" applyAlignment="1" applyProtection="1">
      <alignment horizontal="center"/>
    </xf>
    <xf numFmtId="0" fontId="83" fillId="0" borderId="0" xfId="0" applyFont="1"/>
    <xf numFmtId="0" fontId="25" fillId="0" borderId="0" xfId="0" applyFont="1" applyFill="1" applyBorder="1" applyAlignment="1" applyProtection="1">
      <alignment horizontal="center"/>
    </xf>
    <xf numFmtId="0" fontId="25" fillId="0" borderId="0" xfId="0" applyFont="1" applyAlignment="1" applyProtection="1">
      <alignment horizontal="center"/>
    </xf>
    <xf numFmtId="0" fontId="72" fillId="0" borderId="0" xfId="0" applyFont="1" applyFill="1" applyBorder="1" applyProtection="1"/>
    <xf numFmtId="0" fontId="84" fillId="0" borderId="0" xfId="0" applyFont="1" applyFill="1" applyBorder="1" applyAlignment="1" applyProtection="1">
      <alignment horizontal="left"/>
    </xf>
    <xf numFmtId="0" fontId="25" fillId="0" borderId="0" xfId="0" applyFont="1" applyFill="1" applyBorder="1" applyAlignment="1" applyProtection="1">
      <alignment horizontal="left"/>
    </xf>
    <xf numFmtId="2" fontId="25" fillId="0" borderId="0" xfId="0" applyNumberFormat="1" applyFont="1" applyFill="1" applyBorder="1" applyAlignment="1" applyProtection="1">
      <alignment horizontal="center"/>
    </xf>
    <xf numFmtId="1" fontId="25" fillId="0" borderId="0" xfId="0" applyNumberFormat="1" applyFont="1" applyFill="1" applyBorder="1" applyAlignment="1" applyProtection="1">
      <alignment horizontal="center"/>
    </xf>
    <xf numFmtId="0" fontId="85" fillId="0" borderId="0" xfId="0" applyFont="1"/>
    <xf numFmtId="0" fontId="62" fillId="0" borderId="0" xfId="0" applyFont="1" applyFill="1" applyBorder="1"/>
    <xf numFmtId="0" fontId="57" fillId="0" borderId="2" xfId="0" applyFont="1" applyBorder="1"/>
    <xf numFmtId="0" fontId="61" fillId="0" borderId="2" xfId="1" applyFont="1" applyFill="1" applyBorder="1" applyAlignment="1" applyProtection="1">
      <alignment horizontal="center"/>
    </xf>
    <xf numFmtId="1" fontId="18" fillId="0" borderId="2" xfId="0" applyNumberFormat="1" applyFont="1" applyBorder="1" applyAlignment="1">
      <alignment horizontal="center"/>
    </xf>
    <xf numFmtId="0" fontId="74" fillId="0" borderId="2" xfId="0" applyFont="1" applyBorder="1"/>
    <xf numFmtId="164" fontId="57" fillId="0" borderId="2" xfId="0" applyNumberFormat="1" applyFont="1" applyFill="1" applyBorder="1" applyAlignment="1">
      <alignment horizontal="center"/>
    </xf>
    <xf numFmtId="0" fontId="25" fillId="0" borderId="2" xfId="0" applyFont="1" applyBorder="1"/>
    <xf numFmtId="1" fontId="25" fillId="0" borderId="2" xfId="0" applyNumberFormat="1" applyFont="1" applyBorder="1" applyAlignment="1">
      <alignment horizontal="center"/>
    </xf>
    <xf numFmtId="0" fontId="9" fillId="0" borderId="2" xfId="40" applyBorder="1"/>
    <xf numFmtId="0" fontId="0" fillId="5" borderId="2" xfId="0" applyFill="1" applyBorder="1"/>
    <xf numFmtId="2" fontId="57" fillId="3" borderId="2" xfId="4" applyNumberFormat="1" applyFont="1" applyFill="1" applyBorder="1" applyAlignment="1">
      <alignment horizontal="center" vertical="center"/>
    </xf>
    <xf numFmtId="1" fontId="57" fillId="0" borderId="2" xfId="4" applyNumberFormat="1" applyFont="1" applyFill="1" applyBorder="1" applyAlignment="1" applyProtection="1">
      <alignment horizontal="center"/>
    </xf>
    <xf numFmtId="164" fontId="85" fillId="0" borderId="2" xfId="4" applyNumberFormat="1" applyFont="1" applyBorder="1" applyAlignment="1">
      <alignment horizontal="center"/>
    </xf>
    <xf numFmtId="170" fontId="57" fillId="0" borderId="2" xfId="4" applyNumberFormat="1" applyFont="1" applyBorder="1" applyAlignment="1">
      <alignment horizontal="center" vertical="center"/>
    </xf>
    <xf numFmtId="166" fontId="57" fillId="0" borderId="2" xfId="4" applyNumberFormat="1" applyFont="1" applyBorder="1" applyAlignment="1">
      <alignment horizontal="center" vertical="center"/>
    </xf>
    <xf numFmtId="2" fontId="56" fillId="0" borderId="2" xfId="4" applyNumberFormat="1" applyFont="1" applyFill="1" applyBorder="1" applyAlignment="1" applyProtection="1">
      <alignment horizontal="center"/>
    </xf>
    <xf numFmtId="164" fontId="86" fillId="0" borderId="2" xfId="1" applyNumberFormat="1" applyFont="1" applyFill="1" applyBorder="1" applyAlignment="1" applyProtection="1">
      <alignment horizontal="center"/>
    </xf>
    <xf numFmtId="2" fontId="62" fillId="0" borderId="2" xfId="4" applyNumberFormat="1" applyFont="1" applyFill="1" applyBorder="1" applyAlignment="1" applyProtection="1">
      <alignment horizontal="center"/>
    </xf>
    <xf numFmtId="167" fontId="87" fillId="0" borderId="2" xfId="4" applyNumberFormat="1" applyFont="1" applyBorder="1" applyAlignment="1">
      <alignment horizontal="center"/>
    </xf>
    <xf numFmtId="167" fontId="62" fillId="0" borderId="2" xfId="0" applyNumberFormat="1" applyFont="1" applyFill="1" applyBorder="1" applyAlignment="1" applyProtection="1">
      <alignment horizontal="center"/>
    </xf>
    <xf numFmtId="0" fontId="62" fillId="0" borderId="2" xfId="0" applyFont="1" applyBorder="1" applyAlignment="1" applyProtection="1">
      <alignment horizontal="center"/>
    </xf>
    <xf numFmtId="0" fontId="62" fillId="0" borderId="2" xfId="0" applyFont="1" applyBorder="1" applyAlignment="1"/>
    <xf numFmtId="0" fontId="88" fillId="0" borderId="2" xfId="0" applyFont="1" applyBorder="1" applyAlignment="1" applyProtection="1"/>
    <xf numFmtId="0" fontId="88" fillId="0" borderId="2" xfId="0" applyFont="1" applyBorder="1" applyProtection="1"/>
    <xf numFmtId="0" fontId="88" fillId="0" borderId="2" xfId="0" applyFont="1" applyBorder="1"/>
    <xf numFmtId="0" fontId="88" fillId="0" borderId="2" xfId="0" applyFont="1" applyBorder="1" applyAlignment="1">
      <alignment horizontal="center"/>
    </xf>
    <xf numFmtId="0" fontId="57" fillId="0" borderId="2" xfId="0" applyFont="1" applyBorder="1" applyAlignment="1">
      <alignment horizontal="center"/>
    </xf>
    <xf numFmtId="0" fontId="57" fillId="0" borderId="2" xfId="0" applyFont="1" applyFill="1" applyBorder="1"/>
    <xf numFmtId="164" fontId="57" fillId="0" borderId="2" xfId="4" applyNumberFormat="1" applyFont="1" applyBorder="1" applyAlignment="1">
      <alignment horizontal="left"/>
    </xf>
    <xf numFmtId="0" fontId="62" fillId="0" borderId="2" xfId="0" applyFont="1" applyBorder="1" applyAlignment="1" applyProtection="1"/>
    <xf numFmtId="164" fontId="69" fillId="0" borderId="2" xfId="4" applyNumberFormat="1" applyFont="1" applyBorder="1" applyAlignment="1">
      <alignment horizontal="center"/>
    </xf>
    <xf numFmtId="167" fontId="69" fillId="0" borderId="2" xfId="0" applyNumberFormat="1" applyFont="1" applyFill="1" applyBorder="1" applyAlignment="1" applyProtection="1">
      <alignment horizontal="center"/>
    </xf>
    <xf numFmtId="0" fontId="69" fillId="0" borderId="2" xfId="0" applyFont="1" applyBorder="1" applyAlignment="1" applyProtection="1">
      <alignment horizontal="center"/>
    </xf>
    <xf numFmtId="0" fontId="69" fillId="0" borderId="2" xfId="0" applyFont="1" applyBorder="1" applyAlignment="1" applyProtection="1"/>
    <xf numFmtId="0" fontId="69" fillId="0" borderId="2" xfId="0" applyFont="1" applyBorder="1" applyProtection="1"/>
    <xf numFmtId="0" fontId="69" fillId="0" borderId="2" xfId="0" applyFont="1" applyBorder="1"/>
    <xf numFmtId="0" fontId="69" fillId="0" borderId="2" xfId="0" applyFont="1" applyBorder="1" applyAlignment="1">
      <alignment horizontal="center"/>
    </xf>
    <xf numFmtId="0" fontId="69" fillId="0" borderId="2" xfId="0" applyFont="1" applyFill="1" applyBorder="1"/>
    <xf numFmtId="0" fontId="69" fillId="0" borderId="2" xfId="0" applyFont="1" applyBorder="1" applyAlignment="1"/>
    <xf numFmtId="0" fontId="88" fillId="0" borderId="2" xfId="0" applyFont="1" applyBorder="1" applyAlignment="1"/>
    <xf numFmtId="164" fontId="57" fillId="0" borderId="2" xfId="4" applyNumberFormat="1" applyFont="1" applyBorder="1" applyAlignment="1">
      <alignment horizontal="center"/>
    </xf>
    <xf numFmtId="170" fontId="69" fillId="0" borderId="2" xfId="4" applyNumberFormat="1" applyFont="1" applyBorder="1" applyAlignment="1">
      <alignment horizontal="center" vertical="center"/>
    </xf>
    <xf numFmtId="166" fontId="69" fillId="0" borderId="2" xfId="4" applyNumberFormat="1" applyFont="1" applyBorder="1" applyAlignment="1">
      <alignment horizontal="center" vertical="center"/>
    </xf>
    <xf numFmtId="167" fontId="85" fillId="0" borderId="2" xfId="0" applyNumberFormat="1" applyFont="1" applyFill="1" applyBorder="1" applyAlignment="1" applyProtection="1">
      <alignment horizontal="center"/>
    </xf>
    <xf numFmtId="0" fontId="85" fillId="0" borderId="2" xfId="0" applyFont="1" applyBorder="1" applyAlignment="1" applyProtection="1">
      <alignment horizontal="center"/>
    </xf>
    <xf numFmtId="0" fontId="85" fillId="0" borderId="2" xfId="0" applyFont="1" applyBorder="1" applyAlignment="1" applyProtection="1"/>
    <xf numFmtId="0" fontId="85" fillId="0" borderId="2" xfId="0" applyFont="1" applyBorder="1" applyProtection="1"/>
    <xf numFmtId="0" fontId="85" fillId="0" borderId="2" xfId="0" applyFont="1" applyBorder="1"/>
    <xf numFmtId="0" fontId="85" fillId="0" borderId="2" xfId="0" applyFont="1" applyBorder="1" applyAlignment="1">
      <alignment horizontal="center"/>
    </xf>
    <xf numFmtId="0" fontId="85" fillId="0" borderId="2" xfId="0" applyFont="1" applyFill="1" applyBorder="1"/>
    <xf numFmtId="164" fontId="87" fillId="0" borderId="2" xfId="4" applyNumberFormat="1" applyFont="1" applyBorder="1" applyAlignment="1">
      <alignment horizontal="center"/>
    </xf>
    <xf numFmtId="164" fontId="62" fillId="0" borderId="2" xfId="0" applyNumberFormat="1" applyFont="1" applyFill="1" applyBorder="1" applyAlignment="1" applyProtection="1">
      <alignment horizontal="center"/>
    </xf>
    <xf numFmtId="164" fontId="62" fillId="0" borderId="2" xfId="0" applyNumberFormat="1" applyFont="1" applyFill="1" applyBorder="1" applyAlignment="1" applyProtection="1"/>
    <xf numFmtId="164" fontId="88" fillId="0" borderId="2" xfId="0" applyNumberFormat="1" applyFont="1" applyFill="1" applyBorder="1" applyAlignment="1" applyProtection="1"/>
    <xf numFmtId="164" fontId="88" fillId="0" borderId="2" xfId="0" applyNumberFormat="1" applyFont="1" applyFill="1" applyBorder="1" applyProtection="1"/>
    <xf numFmtId="164" fontId="88" fillId="0" borderId="2" xfId="0" applyNumberFormat="1" applyFont="1" applyFill="1" applyBorder="1"/>
    <xf numFmtId="164" fontId="88" fillId="0" borderId="2" xfId="0" applyNumberFormat="1" applyFont="1" applyFill="1" applyBorder="1" applyAlignment="1">
      <alignment horizontal="center"/>
    </xf>
    <xf numFmtId="164" fontId="57" fillId="0" borderId="2" xfId="0" applyNumberFormat="1" applyFont="1" applyFill="1" applyBorder="1"/>
    <xf numFmtId="2" fontId="88" fillId="0" borderId="2" xfId="4" applyNumberFormat="1" applyFont="1" applyFill="1" applyBorder="1" applyAlignment="1" applyProtection="1">
      <alignment horizontal="center"/>
    </xf>
    <xf numFmtId="2" fontId="88" fillId="0" borderId="2" xfId="0" applyNumberFormat="1" applyFont="1" applyFill="1" applyBorder="1" applyAlignment="1" applyProtection="1">
      <alignment horizontal="center"/>
    </xf>
    <xf numFmtId="2" fontId="89" fillId="0" borderId="2" xfId="0" applyNumberFormat="1" applyFont="1" applyFill="1" applyBorder="1" applyAlignment="1" applyProtection="1">
      <alignment horizontal="center"/>
    </xf>
    <xf numFmtId="164" fontId="88" fillId="0" borderId="2" xfId="0" applyNumberFormat="1" applyFont="1" applyFill="1" applyBorder="1" applyAlignment="1" applyProtection="1">
      <alignment horizontal="center"/>
    </xf>
    <xf numFmtId="166" fontId="88" fillId="0" borderId="2" xfId="0" applyNumberFormat="1" applyFont="1" applyFill="1" applyBorder="1" applyAlignment="1" applyProtection="1">
      <alignment horizontal="center"/>
    </xf>
    <xf numFmtId="166" fontId="89" fillId="0" borderId="2" xfId="0" applyNumberFormat="1" applyFont="1" applyFill="1" applyBorder="1" applyAlignment="1" applyProtection="1">
      <alignment horizontal="center"/>
    </xf>
    <xf numFmtId="14" fontId="88" fillId="0" borderId="2" xfId="0" applyNumberFormat="1" applyFont="1" applyBorder="1" applyAlignment="1">
      <alignment horizontal="center"/>
    </xf>
    <xf numFmtId="0" fontId="88" fillId="0" borderId="0" xfId="0" applyFont="1" applyFill="1" applyBorder="1" applyProtection="1"/>
    <xf numFmtId="2" fontId="88" fillId="0" borderId="0" xfId="4" applyNumberFormat="1" applyFont="1" applyFill="1" applyBorder="1" applyAlignment="1" applyProtection="1">
      <alignment horizontal="center"/>
    </xf>
    <xf numFmtId="0" fontId="88" fillId="0" borderId="0" xfId="4" applyNumberFormat="1" applyFont="1" applyFill="1" applyBorder="1" applyAlignment="1" applyProtection="1">
      <alignment horizontal="center"/>
    </xf>
    <xf numFmtId="2" fontId="88" fillId="0" borderId="0" xfId="0" applyNumberFormat="1" applyFont="1" applyFill="1" applyBorder="1" applyAlignment="1" applyProtection="1">
      <alignment horizontal="center"/>
    </xf>
    <xf numFmtId="2" fontId="89" fillId="0" borderId="0" xfId="0" applyNumberFormat="1" applyFont="1" applyFill="1" applyBorder="1" applyAlignment="1" applyProtection="1">
      <alignment horizontal="center"/>
    </xf>
    <xf numFmtId="164" fontId="88" fillId="0" borderId="0" xfId="0" applyNumberFormat="1" applyFont="1" applyFill="1" applyBorder="1" applyAlignment="1" applyProtection="1">
      <alignment horizontal="center"/>
    </xf>
    <xf numFmtId="166" fontId="88" fillId="0" borderId="0" xfId="0" applyNumberFormat="1" applyFont="1" applyFill="1" applyBorder="1" applyAlignment="1" applyProtection="1">
      <alignment horizontal="center"/>
    </xf>
    <xf numFmtId="166" fontId="89" fillId="0" borderId="0" xfId="0" applyNumberFormat="1" applyFont="1" applyFill="1" applyBorder="1" applyAlignment="1" applyProtection="1">
      <alignment horizontal="center"/>
    </xf>
    <xf numFmtId="164" fontId="88" fillId="0" borderId="0" xfId="0" applyNumberFormat="1" applyFont="1" applyFill="1" applyBorder="1" applyAlignment="1">
      <alignment horizontal="center"/>
    </xf>
    <xf numFmtId="14" fontId="88" fillId="0" borderId="0" xfId="0" applyNumberFormat="1" applyFont="1" applyBorder="1" applyAlignment="1">
      <alignment horizontal="center"/>
    </xf>
    <xf numFmtId="164" fontId="57" fillId="0" borderId="0" xfId="0" applyNumberFormat="1" applyFont="1" applyFill="1" applyAlignment="1">
      <alignment horizontal="center"/>
    </xf>
    <xf numFmtId="164" fontId="57" fillId="0" borderId="0" xfId="0" applyNumberFormat="1" applyFont="1" applyFill="1"/>
    <xf numFmtId="0" fontId="57" fillId="0" borderId="0" xfId="0" applyFont="1" applyFill="1"/>
    <xf numFmtId="0" fontId="18" fillId="0" borderId="2" xfId="0" applyFont="1" applyBorder="1" applyAlignment="1" applyProtection="1">
      <alignment horizontal="center"/>
    </xf>
    <xf numFmtId="0" fontId="19" fillId="0" borderId="2" xfId="0" applyFont="1" applyFill="1" applyBorder="1" applyAlignment="1" applyProtection="1">
      <alignment horizontal="center"/>
    </xf>
    <xf numFmtId="1" fontId="18" fillId="0" borderId="2" xfId="4" applyNumberFormat="1" applyFont="1" applyBorder="1" applyAlignment="1">
      <alignment horizontal="center"/>
    </xf>
    <xf numFmtId="1" fontId="0" fillId="0" borderId="2" xfId="0" applyNumberFormat="1" applyBorder="1" applyAlignment="1">
      <alignment horizontal="center"/>
    </xf>
    <xf numFmtId="0" fontId="21" fillId="0" borderId="2" xfId="0" applyFont="1" applyBorder="1" applyAlignment="1" applyProtection="1">
      <alignment horizontal="center"/>
    </xf>
    <xf numFmtId="0" fontId="60" fillId="0" borderId="0" xfId="0" applyFont="1"/>
    <xf numFmtId="0" fontId="60" fillId="0" borderId="0" xfId="0" applyFont="1" applyAlignment="1">
      <alignment wrapText="1"/>
    </xf>
    <xf numFmtId="165" fontId="60" fillId="0" borderId="2" xfId="0" applyNumberFormat="1" applyFont="1" applyBorder="1" applyAlignment="1">
      <alignment horizontal="right"/>
    </xf>
    <xf numFmtId="2" fontId="25" fillId="0" borderId="2" xfId="0" applyNumberFormat="1" applyFont="1" applyBorder="1"/>
    <xf numFmtId="164" fontId="25" fillId="0" borderId="2" xfId="0" applyNumberFormat="1" applyFont="1" applyBorder="1"/>
    <xf numFmtId="2" fontId="60" fillId="0" borderId="2" xfId="0" applyNumberFormat="1" applyFont="1" applyBorder="1" applyAlignment="1">
      <alignment horizontal="right"/>
    </xf>
    <xf numFmtId="0" fontId="60" fillId="0" borderId="2" xfId="0" applyFont="1" applyBorder="1" applyAlignment="1">
      <alignment horizontal="right"/>
    </xf>
    <xf numFmtId="168" fontId="60" fillId="0" borderId="2" xfId="0" applyNumberFormat="1" applyFont="1" applyBorder="1" applyAlignment="1">
      <alignment horizontal="right"/>
    </xf>
    <xf numFmtId="44" fontId="60" fillId="0" borderId="2" xfId="0" applyNumberFormat="1" applyFont="1" applyBorder="1" applyAlignment="1">
      <alignment horizontal="right"/>
    </xf>
    <xf numFmtId="1" fontId="90" fillId="0" borderId="2" xfId="0" applyNumberFormat="1" applyFont="1" applyBorder="1" applyAlignment="1">
      <alignment horizontal="center"/>
    </xf>
    <xf numFmtId="1" fontId="90" fillId="0" borderId="4" xfId="0" applyNumberFormat="1" applyFont="1" applyBorder="1" applyAlignment="1">
      <alignment horizontal="center"/>
    </xf>
    <xf numFmtId="1" fontId="71" fillId="0" borderId="2" xfId="0" applyNumberFormat="1" applyFont="1" applyFill="1" applyBorder="1" applyAlignment="1" applyProtection="1">
      <alignment horizontal="center"/>
    </xf>
    <xf numFmtId="1" fontId="60" fillId="0" borderId="0" xfId="0" applyNumberFormat="1" applyFont="1" applyAlignment="1" applyProtection="1">
      <alignment horizontal="center"/>
    </xf>
    <xf numFmtId="1" fontId="90" fillId="0" borderId="5" xfId="0" applyNumberFormat="1" applyFont="1" applyBorder="1" applyAlignment="1">
      <alignment horizontal="center"/>
    </xf>
    <xf numFmtId="0" fontId="83" fillId="0" borderId="0" xfId="0" applyFont="1" applyAlignment="1"/>
    <xf numFmtId="0" fontId="83" fillId="0" borderId="1" xfId="0" applyFont="1" applyBorder="1" applyAlignment="1">
      <alignment horizontal="left"/>
    </xf>
    <xf numFmtId="1" fontId="91" fillId="0" borderId="0" xfId="0" applyNumberFormat="1" applyFont="1" applyAlignment="1" applyProtection="1">
      <alignment horizontal="center"/>
    </xf>
    <xf numFmtId="0" fontId="83" fillId="0" borderId="0" xfId="0" applyFont="1" applyFill="1"/>
    <xf numFmtId="0" fontId="25" fillId="0" borderId="0" xfId="0" applyFont="1" applyFill="1"/>
    <xf numFmtId="164" fontId="71" fillId="0" borderId="0" xfId="0" applyNumberFormat="1" applyFont="1" applyFill="1" applyBorder="1" applyAlignment="1" applyProtection="1">
      <alignment horizontal="center"/>
    </xf>
    <xf numFmtId="0" fontId="94" fillId="0" borderId="0" xfId="0" applyFont="1"/>
    <xf numFmtId="0" fontId="38" fillId="0" borderId="0" xfId="106" applyFont="1" applyAlignment="1"/>
    <xf numFmtId="0" fontId="18" fillId="0" borderId="0" xfId="0" applyFont="1" applyFill="1" applyBorder="1" applyAlignment="1">
      <alignment horizontal="center"/>
    </xf>
    <xf numFmtId="0" fontId="18" fillId="5" borderId="2" xfId="4" applyFont="1" applyFill="1" applyBorder="1" applyAlignment="1">
      <alignment horizontal="center"/>
    </xf>
    <xf numFmtId="1" fontId="18" fillId="5" borderId="2" xfId="4" applyNumberFormat="1" applyFont="1" applyFill="1" applyBorder="1" applyAlignment="1">
      <alignment horizontal="center"/>
    </xf>
    <xf numFmtId="0" fontId="19" fillId="5" borderId="2" xfId="4" applyFont="1" applyFill="1" applyBorder="1" applyAlignment="1">
      <alignment horizontal="center"/>
    </xf>
    <xf numFmtId="1" fontId="19" fillId="5" borderId="2" xfId="4" applyNumberFormat="1" applyFont="1" applyFill="1" applyBorder="1" applyAlignment="1">
      <alignment horizontal="center"/>
    </xf>
    <xf numFmtId="0" fontId="46" fillId="0" borderId="9" xfId="4" applyFont="1" applyBorder="1"/>
    <xf numFmtId="0" fontId="19" fillId="5" borderId="2" xfId="4" applyFont="1" applyFill="1" applyBorder="1" applyAlignment="1">
      <alignment horizontal="left"/>
    </xf>
    <xf numFmtId="0" fontId="46" fillId="0" borderId="2" xfId="4" applyFont="1" applyBorder="1" applyAlignment="1"/>
    <xf numFmtId="0" fontId="19" fillId="0" borderId="2" xfId="4" applyFont="1" applyBorder="1" applyAlignment="1"/>
    <xf numFmtId="0" fontId="19" fillId="0" borderId="2" xfId="4" applyFont="1" applyBorder="1"/>
    <xf numFmtId="0" fontId="19" fillId="0" borderId="2" xfId="5" applyFont="1" applyBorder="1" applyAlignment="1"/>
    <xf numFmtId="0" fontId="46" fillId="0" borderId="9" xfId="4" applyFont="1" applyBorder="1" applyAlignment="1">
      <alignment horizontal="left"/>
    </xf>
    <xf numFmtId="0" fontId="0" fillId="0" borderId="2" xfId="0" applyBorder="1"/>
    <xf numFmtId="1" fontId="45" fillId="0" borderId="0" xfId="0" applyNumberFormat="1" applyFont="1" applyBorder="1"/>
    <xf numFmtId="0" fontId="19" fillId="0" borderId="0" xfId="0" applyFont="1" applyBorder="1"/>
    <xf numFmtId="0" fontId="21" fillId="0" borderId="0" xfId="0" applyFont="1" applyBorder="1" applyProtection="1"/>
    <xf numFmtId="1" fontId="21" fillId="0" borderId="0" xfId="0" applyNumberFormat="1" applyFont="1" applyBorder="1" applyProtection="1"/>
    <xf numFmtId="0" fontId="21" fillId="0" borderId="0" xfId="0" applyFont="1" applyBorder="1" applyAlignment="1" applyProtection="1">
      <alignment horizontal="center"/>
    </xf>
    <xf numFmtId="1" fontId="0" fillId="0" borderId="0" xfId="0" applyNumberFormat="1" applyBorder="1" applyProtection="1"/>
    <xf numFmtId="0" fontId="65" fillId="0" borderId="0" xfId="0" applyFont="1" applyBorder="1"/>
    <xf numFmtId="1" fontId="19" fillId="0" borderId="0" xfId="0" applyNumberFormat="1" applyFont="1" applyBorder="1"/>
    <xf numFmtId="0" fontId="19" fillId="0" borderId="0" xfId="0" applyFont="1" applyBorder="1" applyAlignment="1">
      <alignment horizontal="center"/>
    </xf>
    <xf numFmtId="44" fontId="60" fillId="0" borderId="2" xfId="6" applyFont="1" applyBorder="1" applyAlignment="1">
      <alignment horizontal="right"/>
    </xf>
    <xf numFmtId="164" fontId="25" fillId="0" borderId="2" xfId="4" applyNumberFormat="1" applyFont="1" applyBorder="1" applyAlignment="1">
      <alignment horizontal="center"/>
    </xf>
    <xf numFmtId="164" fontId="25" fillId="0" borderId="2" xfId="4" applyNumberFormat="1" applyFont="1" applyFill="1" applyBorder="1" applyAlignment="1">
      <alignment horizontal="center"/>
    </xf>
    <xf numFmtId="0" fontId="60" fillId="0" borderId="0" xfId="4" applyFont="1" applyAlignment="1">
      <alignment wrapText="1"/>
    </xf>
    <xf numFmtId="0" fontId="25" fillId="0" borderId="0" xfId="4" applyFont="1" applyAlignment="1">
      <alignment wrapText="1"/>
    </xf>
    <xf numFmtId="0" fontId="83" fillId="0" borderId="0" xfId="4" applyFont="1" applyAlignment="1">
      <alignment wrapText="1"/>
    </xf>
    <xf numFmtId="0" fontId="2" fillId="0" borderId="2" xfId="793" applyBorder="1"/>
    <xf numFmtId="2" fontId="57" fillId="0" borderId="2" xfId="4" applyNumberFormat="1" applyFont="1" applyFill="1" applyBorder="1" applyAlignment="1" applyProtection="1">
      <alignment horizontal="center"/>
    </xf>
    <xf numFmtId="2" fontId="57" fillId="0" borderId="2" xfId="4" applyNumberFormat="1" applyFont="1" applyBorder="1" applyAlignment="1">
      <alignment horizontal="center"/>
    </xf>
    <xf numFmtId="0" fontId="1" fillId="0" borderId="2" xfId="40" applyFont="1" applyBorder="1"/>
    <xf numFmtId="0" fontId="97" fillId="0" borderId="0" xfId="0" applyFont="1" applyProtection="1"/>
    <xf numFmtId="0" fontId="91" fillId="6" borderId="10" xfId="0" applyFont="1" applyFill="1" applyBorder="1"/>
    <xf numFmtId="0" fontId="25" fillId="6" borderId="11" xfId="0" applyFont="1" applyFill="1" applyBorder="1"/>
    <xf numFmtId="0" fontId="18" fillId="6" borderId="11" xfId="4" applyFont="1" applyFill="1" applyBorder="1" applyAlignment="1">
      <alignment horizontal="left"/>
    </xf>
    <xf numFmtId="0" fontId="38" fillId="0" borderId="2" xfId="0" applyFont="1" applyBorder="1"/>
    <xf numFmtId="0" fontId="22" fillId="0" borderId="0" xfId="0" applyFont="1" applyFill="1" applyBorder="1" applyAlignment="1" applyProtection="1">
      <alignment horizontal="left" wrapText="1"/>
    </xf>
    <xf numFmtId="0" fontId="44" fillId="0" borderId="2" xfId="1" applyFont="1" applyFill="1" applyBorder="1" applyAlignment="1">
      <alignment horizontal="center"/>
    </xf>
    <xf numFmtId="0" fontId="59" fillId="0" borderId="0" xfId="0" applyFont="1" applyAlignment="1">
      <alignment horizontal="left" wrapText="1"/>
    </xf>
    <xf numFmtId="0" fontId="98" fillId="0" borderId="0" xfId="0" applyFont="1" applyBorder="1" applyAlignment="1">
      <alignment horizontal="left" wrapText="1"/>
    </xf>
    <xf numFmtId="0" fontId="38" fillId="5" borderId="2" xfId="0" applyFont="1" applyFill="1" applyBorder="1" applyAlignment="1" applyProtection="1">
      <alignment horizontal="center"/>
    </xf>
    <xf numFmtId="164" fontId="9" fillId="0" borderId="2" xfId="40" applyNumberFormat="1" applyBorder="1"/>
    <xf numFmtId="0" fontId="38" fillId="5" borderId="2" xfId="0" applyFont="1" applyFill="1" applyBorder="1" applyAlignment="1" applyProtection="1">
      <alignment horizontal="center" wrapText="1"/>
    </xf>
    <xf numFmtId="0" fontId="64" fillId="0" borderId="0" xfId="0" applyFont="1"/>
    <xf numFmtId="0" fontId="99" fillId="0" borderId="0" xfId="0" applyFont="1" applyFill="1" applyAlignment="1">
      <alignment wrapText="1"/>
    </xf>
    <xf numFmtId="0" fontId="64" fillId="0" borderId="0" xfId="0" applyFont="1" applyFill="1" applyAlignment="1">
      <alignment horizontal="center"/>
    </xf>
    <xf numFmtId="0" fontId="64" fillId="0" borderId="0" xfId="0" applyFont="1" applyFill="1"/>
    <xf numFmtId="0" fontId="100" fillId="0" borderId="0" xfId="0" applyFont="1" applyFill="1"/>
    <xf numFmtId="0" fontId="64" fillId="0" borderId="0" xfId="0" applyFont="1" applyAlignment="1">
      <alignment horizontal="center"/>
    </xf>
    <xf numFmtId="0" fontId="100" fillId="0" borderId="0" xfId="0" applyFont="1"/>
    <xf numFmtId="0" fontId="27" fillId="0" borderId="0" xfId="0" applyFont="1" applyFill="1" applyAlignment="1">
      <alignment horizontal="center"/>
    </xf>
    <xf numFmtId="0" fontId="64" fillId="0" borderId="0" xfId="0" applyFont="1" applyAlignment="1">
      <alignment horizontal="right"/>
    </xf>
    <xf numFmtId="0" fontId="101" fillId="0" borderId="0" xfId="0" applyFont="1" applyFill="1" applyBorder="1" applyAlignment="1" applyProtection="1">
      <alignment horizontal="center" wrapText="1"/>
    </xf>
    <xf numFmtId="0" fontId="99" fillId="0" borderId="0" xfId="0" applyFont="1" applyFill="1" applyAlignment="1" applyProtection="1">
      <alignment horizontal="center"/>
    </xf>
    <xf numFmtId="0" fontId="99" fillId="0" borderId="0" xfId="0" applyFont="1" applyFill="1" applyAlignment="1">
      <alignment horizontal="center"/>
    </xf>
    <xf numFmtId="0" fontId="64" fillId="0" borderId="2" xfId="0" applyFont="1" applyBorder="1"/>
    <xf numFmtId="164" fontId="102" fillId="0" borderId="2" xfId="1" applyNumberFormat="1" applyFont="1" applyFill="1" applyBorder="1" applyAlignment="1">
      <alignment horizontal="center" wrapText="1"/>
    </xf>
    <xf numFmtId="164" fontId="102" fillId="0" borderId="2" xfId="1" applyNumberFormat="1" applyFont="1" applyFill="1" applyBorder="1" applyAlignment="1" applyProtection="1">
      <alignment horizontal="center"/>
    </xf>
    <xf numFmtId="164" fontId="64" fillId="0" borderId="2" xfId="0" applyNumberFormat="1" applyFont="1" applyBorder="1" applyAlignment="1">
      <alignment horizontal="center"/>
    </xf>
    <xf numFmtId="164" fontId="64" fillId="0" borderId="2" xfId="0" applyNumberFormat="1" applyFont="1" applyFill="1" applyBorder="1" applyAlignment="1" applyProtection="1">
      <alignment horizontal="center"/>
    </xf>
    <xf numFmtId="164" fontId="99" fillId="0" borderId="2" xfId="0" applyNumberFormat="1" applyFont="1" applyFill="1" applyBorder="1" applyAlignment="1" applyProtection="1">
      <alignment horizontal="center"/>
    </xf>
    <xf numFmtId="1" fontId="99" fillId="0" borderId="2" xfId="0" applyNumberFormat="1" applyFont="1" applyFill="1" applyBorder="1" applyAlignment="1">
      <alignment horizontal="center"/>
    </xf>
    <xf numFmtId="164" fontId="102" fillId="0" borderId="8" xfId="1" applyNumberFormat="1" applyFont="1" applyFill="1" applyBorder="1" applyAlignment="1" applyProtection="1">
      <alignment horizontal="center"/>
    </xf>
    <xf numFmtId="0" fontId="64" fillId="0" borderId="2" xfId="0" applyFont="1" applyFill="1" applyBorder="1"/>
    <xf numFmtId="164" fontId="102" fillId="0" borderId="2" xfId="1" applyNumberFormat="1" applyFont="1" applyFill="1" applyBorder="1" applyAlignment="1">
      <alignment horizontal="center"/>
    </xf>
    <xf numFmtId="164" fontId="103" fillId="0" borderId="0" xfId="0" applyNumberFormat="1" applyFont="1" applyAlignment="1">
      <alignment horizontal="center"/>
    </xf>
    <xf numFmtId="0" fontId="64" fillId="0" borderId="0" xfId="0" applyFont="1" applyAlignment="1">
      <alignment horizontal="center" vertical="top" wrapText="1"/>
    </xf>
    <xf numFmtId="0" fontId="64" fillId="0" borderId="0" xfId="0" applyFont="1" applyAlignment="1">
      <alignment horizontal="left"/>
    </xf>
    <xf numFmtId="0" fontId="99" fillId="0" borderId="0" xfId="0" applyFont="1" applyProtection="1"/>
    <xf numFmtId="164" fontId="33" fillId="0" borderId="0" xfId="0" applyNumberFormat="1" applyFont="1" applyProtection="1"/>
    <xf numFmtId="0" fontId="64" fillId="0" borderId="0" xfId="0" applyFont="1" applyProtection="1"/>
    <xf numFmtId="164" fontId="64" fillId="0" borderId="0" xfId="0" applyNumberFormat="1" applyFont="1" applyAlignment="1" applyProtection="1">
      <alignment horizontal="right"/>
    </xf>
    <xf numFmtId="164" fontId="99" fillId="0" borderId="0" xfId="0" applyNumberFormat="1" applyFont="1" applyAlignment="1">
      <alignment horizontal="center"/>
    </xf>
    <xf numFmtId="164" fontId="64" fillId="0" borderId="0" xfId="0" applyNumberFormat="1" applyFont="1" applyAlignment="1">
      <alignment horizontal="center"/>
    </xf>
    <xf numFmtId="0" fontId="64" fillId="0" borderId="0" xfId="0" applyFont="1" applyAlignment="1" applyProtection="1">
      <alignment horizontal="right"/>
    </xf>
    <xf numFmtId="0" fontId="103" fillId="0" borderId="0" xfId="0" applyFont="1" applyProtection="1"/>
    <xf numFmtId="1" fontId="103" fillId="0" borderId="0" xfId="0" applyNumberFormat="1" applyFont="1" applyAlignment="1" applyProtection="1">
      <alignment horizontal="center"/>
    </xf>
    <xf numFmtId="0" fontId="99" fillId="0" borderId="0" xfId="0" applyFont="1" applyAlignment="1" applyProtection="1">
      <alignment wrapText="1"/>
    </xf>
    <xf numFmtId="1" fontId="99" fillId="0" borderId="0" xfId="0" applyNumberFormat="1" applyFont="1" applyAlignment="1">
      <alignment horizontal="center"/>
    </xf>
    <xf numFmtId="0" fontId="99" fillId="0" borderId="0" xfId="0" applyFont="1" applyFill="1" applyBorder="1" applyAlignment="1" applyProtection="1">
      <alignment horizontal="center"/>
    </xf>
    <xf numFmtId="0" fontId="99" fillId="0" borderId="0" xfId="0" applyFont="1" applyAlignment="1">
      <alignment horizontal="center"/>
    </xf>
    <xf numFmtId="0" fontId="64" fillId="0" borderId="0" xfId="0" applyFont="1" applyFill="1" applyBorder="1" applyProtection="1"/>
    <xf numFmtId="164" fontId="108" fillId="0" borderId="0" xfId="0" applyNumberFormat="1" applyFont="1" applyAlignment="1">
      <alignment horizontal="center"/>
    </xf>
    <xf numFmtId="0" fontId="109" fillId="0" borderId="0" xfId="0" applyFont="1" applyFill="1" applyBorder="1" applyAlignment="1" applyProtection="1">
      <alignment horizontal="center"/>
    </xf>
    <xf numFmtId="0" fontId="108" fillId="0" borderId="0" xfId="0" applyFont="1" applyBorder="1" applyAlignment="1">
      <alignment horizontal="center"/>
    </xf>
    <xf numFmtId="0" fontId="108" fillId="0" borderId="0" xfId="0" applyFont="1" applyAlignment="1">
      <alignment horizontal="center"/>
    </xf>
    <xf numFmtId="0" fontId="109" fillId="0" borderId="0" xfId="0" applyFont="1" applyAlignment="1" applyProtection="1">
      <alignment horizontal="center"/>
    </xf>
    <xf numFmtId="0" fontId="99" fillId="0" borderId="0" xfId="0" applyFont="1" applyAlignment="1" applyProtection="1">
      <alignment horizontal="center"/>
    </xf>
    <xf numFmtId="0" fontId="64" fillId="0" borderId="2" xfId="0" applyFont="1" applyBorder="1" applyAlignment="1">
      <alignment horizontal="center"/>
    </xf>
    <xf numFmtId="164" fontId="99" fillId="0" borderId="0" xfId="0" applyNumberFormat="1" applyFont="1" applyAlignment="1" applyProtection="1">
      <alignment horizontal="center"/>
    </xf>
    <xf numFmtId="164" fontId="99" fillId="5" borderId="2" xfId="0" applyNumberFormat="1" applyFont="1" applyFill="1" applyBorder="1" applyAlignment="1">
      <alignment horizontal="center"/>
    </xf>
    <xf numFmtId="164" fontId="99" fillId="0" borderId="2" xfId="0" applyNumberFormat="1" applyFont="1" applyBorder="1" applyAlignment="1">
      <alignment horizontal="center"/>
    </xf>
    <xf numFmtId="1" fontId="64" fillId="0" borderId="2" xfId="0" applyNumberFormat="1" applyFont="1" applyFill="1" applyBorder="1" applyAlignment="1" applyProtection="1">
      <alignment horizontal="center"/>
    </xf>
    <xf numFmtId="1" fontId="64" fillId="0" borderId="0" xfId="0" applyNumberFormat="1" applyFont="1" applyAlignment="1" applyProtection="1">
      <alignment horizontal="center"/>
    </xf>
    <xf numFmtId="0" fontId="64" fillId="0" borderId="0" xfId="0" applyFont="1" applyAlignment="1" applyProtection="1">
      <alignment horizontal="center"/>
    </xf>
    <xf numFmtId="1" fontId="110" fillId="0" borderId="0" xfId="0" applyNumberFormat="1" applyFont="1" applyAlignment="1" applyProtection="1">
      <alignment horizontal="center"/>
    </xf>
    <xf numFmtId="0" fontId="110" fillId="0" borderId="0" xfId="0" applyFont="1" applyAlignment="1" applyProtection="1">
      <alignment horizontal="center"/>
    </xf>
    <xf numFmtId="164" fontId="111" fillId="0" borderId="0" xfId="0" applyNumberFormat="1" applyFont="1" applyAlignment="1" applyProtection="1">
      <alignment horizontal="center"/>
    </xf>
    <xf numFmtId="0" fontId="110" fillId="0" borderId="0" xfId="0" applyFont="1" applyAlignment="1">
      <alignment horizontal="center"/>
    </xf>
    <xf numFmtId="0" fontId="110" fillId="0" borderId="0" xfId="0" applyFont="1"/>
    <xf numFmtId="0" fontId="110" fillId="0" borderId="0" xfId="0" applyFont="1" applyProtection="1"/>
    <xf numFmtId="0" fontId="64" fillId="0" borderId="0" xfId="0" applyFont="1" applyFill="1" applyBorder="1"/>
    <xf numFmtId="0" fontId="64" fillId="0" borderId="0" xfId="0" applyFont="1" applyBorder="1" applyAlignment="1" applyProtection="1">
      <alignment horizontal="right"/>
    </xf>
    <xf numFmtId="1" fontId="64" fillId="0" borderId="0" xfId="0" applyNumberFormat="1" applyFont="1" applyFill="1" applyBorder="1" applyProtection="1"/>
    <xf numFmtId="0" fontId="64" fillId="0" borderId="0" xfId="0" applyFont="1" applyBorder="1"/>
    <xf numFmtId="0" fontId="64" fillId="0" borderId="0" xfId="0" applyFont="1" applyBorder="1" applyAlignment="1">
      <alignment horizontal="center"/>
    </xf>
    <xf numFmtId="164" fontId="99" fillId="0" borderId="0" xfId="0" applyNumberFormat="1" applyFont="1" applyBorder="1" applyAlignment="1" applyProtection="1">
      <alignment horizontal="center" wrapText="1"/>
    </xf>
    <xf numFmtId="164" fontId="64" fillId="0" borderId="0" xfId="0" applyNumberFormat="1" applyFont="1" applyBorder="1" applyAlignment="1">
      <alignment horizontal="center"/>
    </xf>
    <xf numFmtId="164" fontId="99" fillId="5" borderId="0" xfId="0" applyNumberFormat="1" applyFont="1" applyFill="1" applyBorder="1" applyAlignment="1">
      <alignment horizontal="center"/>
    </xf>
    <xf numFmtId="164" fontId="99" fillId="0" borderId="0" xfId="0" applyNumberFormat="1" applyFont="1" applyBorder="1" applyAlignment="1">
      <alignment horizontal="center"/>
    </xf>
    <xf numFmtId="1" fontId="64" fillId="0" borderId="0" xfId="0" applyNumberFormat="1" applyFont="1" applyFill="1" applyBorder="1" applyAlignment="1" applyProtection="1">
      <alignment horizontal="center"/>
    </xf>
    <xf numFmtId="0" fontId="99" fillId="0" borderId="0" xfId="0" applyFont="1" applyFill="1" applyBorder="1"/>
    <xf numFmtId="1" fontId="99" fillId="0" borderId="0" xfId="0" applyNumberFormat="1" applyFont="1" applyBorder="1" applyAlignment="1" applyProtection="1">
      <alignment horizontal="center"/>
    </xf>
    <xf numFmtId="164" fontId="64" fillId="0" borderId="0" xfId="0" applyNumberFormat="1" applyFont="1" applyBorder="1" applyAlignment="1" applyProtection="1">
      <alignment horizontal="center"/>
    </xf>
    <xf numFmtId="164" fontId="99" fillId="0" borderId="0" xfId="0" applyNumberFormat="1" applyFont="1" applyBorder="1" applyAlignment="1" applyProtection="1">
      <alignment horizontal="center"/>
    </xf>
    <xf numFmtId="0" fontId="99" fillId="0" borderId="0" xfId="0" applyFont="1" applyBorder="1" applyAlignment="1" applyProtection="1">
      <alignment horizontal="center" wrapText="1"/>
    </xf>
    <xf numFmtId="2" fontId="99" fillId="0" borderId="0" xfId="0" applyNumberFormat="1" applyFont="1" applyAlignment="1">
      <alignment horizontal="center"/>
    </xf>
    <xf numFmtId="0" fontId="64" fillId="0" borderId="0" xfId="0" applyFont="1" applyBorder="1" applyAlignment="1" applyProtection="1">
      <alignment horizontal="center"/>
    </xf>
    <xf numFmtId="1" fontId="64" fillId="0" borderId="0" xfId="0" applyNumberFormat="1" applyFont="1" applyBorder="1" applyAlignment="1" applyProtection="1">
      <alignment horizontal="left"/>
    </xf>
    <xf numFmtId="164" fontId="103" fillId="0" borderId="0" xfId="0" applyNumberFormat="1" applyFont="1" applyBorder="1" applyAlignment="1" applyProtection="1">
      <alignment horizontal="center"/>
    </xf>
    <xf numFmtId="1" fontId="100" fillId="0" borderId="0" xfId="0" applyNumberFormat="1" applyFont="1" applyBorder="1" applyAlignment="1" applyProtection="1">
      <alignment horizontal="left"/>
    </xf>
    <xf numFmtId="1" fontId="64" fillId="0" borderId="0" xfId="0" applyNumberFormat="1" applyFont="1" applyBorder="1" applyAlignment="1" applyProtection="1">
      <alignment horizontal="center"/>
    </xf>
    <xf numFmtId="164" fontId="64" fillId="0" borderId="0" xfId="0" applyNumberFormat="1" applyFont="1" applyBorder="1" applyAlignment="1" applyProtection="1">
      <alignment horizontal="left"/>
    </xf>
    <xf numFmtId="1" fontId="112" fillId="0" borderId="0" xfId="105" applyNumberFormat="1" applyFont="1" applyAlignment="1">
      <alignment horizontal="right"/>
    </xf>
    <xf numFmtId="164" fontId="64" fillId="0" borderId="2" xfId="0" applyNumberFormat="1" applyFont="1" applyBorder="1" applyAlignment="1" applyProtection="1">
      <alignment horizontal="center"/>
    </xf>
    <xf numFmtId="164" fontId="99" fillId="0" borderId="2" xfId="0" applyNumberFormat="1" applyFont="1" applyBorder="1" applyAlignment="1" applyProtection="1">
      <alignment horizontal="center"/>
    </xf>
    <xf numFmtId="1" fontId="64" fillId="0" borderId="0" xfId="0" applyNumberFormat="1" applyFont="1" applyBorder="1" applyAlignment="1" applyProtection="1">
      <alignment horizontal="right"/>
    </xf>
    <xf numFmtId="164" fontId="64" fillId="6" borderId="2" xfId="0" applyNumberFormat="1" applyFont="1" applyFill="1" applyBorder="1" applyAlignment="1" applyProtection="1">
      <alignment horizontal="center"/>
    </xf>
    <xf numFmtId="164" fontId="112" fillId="0" borderId="0" xfId="105" applyNumberFormat="1" applyFont="1" applyAlignment="1">
      <alignment horizontal="left"/>
    </xf>
    <xf numFmtId="164" fontId="101" fillId="0" borderId="0" xfId="105" applyNumberFormat="1" applyFont="1" applyAlignment="1">
      <alignment horizontal="center"/>
    </xf>
    <xf numFmtId="1" fontId="99" fillId="0" borderId="0" xfId="0" applyNumberFormat="1" applyFont="1" applyBorder="1" applyAlignment="1" applyProtection="1">
      <alignment horizontal="right"/>
    </xf>
    <xf numFmtId="164" fontId="99" fillId="0" borderId="0" xfId="0" quotePrefix="1" applyNumberFormat="1" applyFont="1" applyBorder="1" applyAlignment="1" applyProtection="1">
      <alignment horizontal="center"/>
    </xf>
    <xf numFmtId="1" fontId="103" fillId="0" borderId="0" xfId="0" applyNumberFormat="1" applyFont="1" applyBorder="1" applyAlignment="1" applyProtection="1">
      <alignment horizontal="center"/>
    </xf>
    <xf numFmtId="0" fontId="100" fillId="0" borderId="0" xfId="0" applyFont="1" applyBorder="1"/>
    <xf numFmtId="0" fontId="100" fillId="0" borderId="0" xfId="0" applyFont="1" applyFill="1" applyBorder="1"/>
    <xf numFmtId="0" fontId="64" fillId="0" borderId="2" xfId="0" applyFont="1" applyFill="1" applyBorder="1" applyAlignment="1">
      <alignment horizontal="center"/>
    </xf>
    <xf numFmtId="164" fontId="64" fillId="0" borderId="0" xfId="0" applyNumberFormat="1" applyFont="1"/>
    <xf numFmtId="0" fontId="111" fillId="0" borderId="0" xfId="0" applyFont="1"/>
    <xf numFmtId="0" fontId="64" fillId="0" borderId="0" xfId="0" applyFont="1" applyAlignment="1"/>
    <xf numFmtId="0" fontId="33" fillId="0" borderId="0" xfId="0" applyFont="1" applyProtection="1"/>
    <xf numFmtId="2" fontId="64" fillId="0" borderId="0" xfId="0" applyNumberFormat="1" applyFont="1" applyFill="1" applyBorder="1" applyProtection="1"/>
    <xf numFmtId="164" fontId="64" fillId="0" borderId="0" xfId="0" applyNumberFormat="1" applyFont="1" applyProtection="1"/>
    <xf numFmtId="164" fontId="99" fillId="0" borderId="0" xfId="0" applyNumberFormat="1" applyFont="1" applyProtection="1"/>
    <xf numFmtId="164" fontId="64" fillId="0" borderId="0" xfId="0" applyNumberFormat="1" applyFont="1" applyFill="1" applyBorder="1" applyProtection="1"/>
    <xf numFmtId="0" fontId="99" fillId="0" borderId="0" xfId="0" applyFont="1" applyAlignment="1" applyProtection="1">
      <alignment horizontal="left"/>
    </xf>
    <xf numFmtId="0" fontId="99" fillId="0" borderId="0" xfId="0" applyFont="1" applyFill="1" applyBorder="1" applyProtection="1"/>
    <xf numFmtId="0" fontId="103" fillId="0" borderId="0" xfId="0" applyFont="1" applyFill="1" applyBorder="1" applyAlignment="1" applyProtection="1">
      <alignment horizontal="center" wrapText="1"/>
    </xf>
    <xf numFmtId="164" fontId="109" fillId="0" borderId="0" xfId="0" applyNumberFormat="1" applyFont="1" applyFill="1" applyBorder="1" applyAlignment="1" applyProtection="1">
      <alignment horizontal="center" wrapText="1"/>
    </xf>
    <xf numFmtId="0" fontId="109" fillId="0" borderId="0" xfId="0" applyFont="1" applyFill="1" applyBorder="1" applyAlignment="1" applyProtection="1">
      <alignment horizontal="center" wrapText="1"/>
    </xf>
    <xf numFmtId="0" fontId="99" fillId="0" borderId="0" xfId="0" applyFont="1" applyAlignment="1" applyProtection="1">
      <alignment horizontal="center" wrapText="1"/>
    </xf>
    <xf numFmtId="0" fontId="64" fillId="0" borderId="0" xfId="0" applyFont="1" applyAlignment="1">
      <alignment wrapText="1"/>
    </xf>
    <xf numFmtId="2" fontId="100" fillId="0" borderId="2" xfId="0" applyNumberFormat="1" applyFont="1" applyBorder="1" applyAlignment="1">
      <alignment horizontal="center"/>
    </xf>
    <xf numFmtId="164" fontId="64" fillId="0" borderId="2" xfId="0" applyNumberFormat="1" applyFont="1" applyFill="1" applyBorder="1" applyAlignment="1">
      <alignment horizontal="center"/>
    </xf>
    <xf numFmtId="0" fontId="64" fillId="0" borderId="2" xfId="0" applyFont="1" applyBorder="1" applyAlignment="1" applyProtection="1">
      <alignment horizontal="center"/>
    </xf>
    <xf numFmtId="0" fontId="64" fillId="0" borderId="2" xfId="0" applyFont="1" applyBorder="1" applyAlignment="1">
      <alignment horizontal="left"/>
    </xf>
    <xf numFmtId="164" fontId="99" fillId="0" borderId="0" xfId="0" applyNumberFormat="1" applyFont="1"/>
    <xf numFmtId="2" fontId="64" fillId="0" borderId="2" xfId="0" applyNumberFormat="1" applyFont="1" applyBorder="1" applyAlignment="1">
      <alignment horizontal="center"/>
    </xf>
    <xf numFmtId="0" fontId="113" fillId="0" borderId="2" xfId="0" applyFont="1" applyBorder="1"/>
    <xf numFmtId="0" fontId="113" fillId="0" borderId="0" xfId="0" applyFont="1" applyAlignment="1">
      <alignment vertical="center" wrapText="1"/>
    </xf>
    <xf numFmtId="0" fontId="100" fillId="0" borderId="0" xfId="0" applyFont="1" applyProtection="1"/>
    <xf numFmtId="164" fontId="100" fillId="0" borderId="0" xfId="0" applyNumberFormat="1" applyFont="1"/>
    <xf numFmtId="0" fontId="100" fillId="0" borderId="0" xfId="0" applyFont="1" applyFill="1" applyBorder="1" applyAlignment="1">
      <alignment horizontal="center"/>
    </xf>
    <xf numFmtId="0" fontId="64" fillId="0" borderId="0" xfId="0" applyFont="1" applyFill="1" applyBorder="1" applyAlignment="1">
      <alignment horizontal="center"/>
    </xf>
    <xf numFmtId="0" fontId="38" fillId="0" borderId="0" xfId="0" applyFont="1" applyBorder="1" applyAlignment="1">
      <alignment horizontal="left" wrapText="1"/>
    </xf>
    <xf numFmtId="0" fontId="60" fillId="0" borderId="0" xfId="0" applyFont="1" applyAlignment="1">
      <alignment vertical="center"/>
    </xf>
    <xf numFmtId="1" fontId="114" fillId="0" borderId="2" xfId="0" applyNumberFormat="1" applyFont="1" applyBorder="1" applyAlignment="1">
      <alignment vertical="center" wrapText="1"/>
    </xf>
    <xf numFmtId="0" fontId="0" fillId="0" borderId="2" xfId="0" applyBorder="1" applyAlignment="1">
      <alignment vertical="center"/>
    </xf>
    <xf numFmtId="0" fontId="18" fillId="0" borderId="0" xfId="0" applyFont="1" applyBorder="1"/>
    <xf numFmtId="0" fontId="60" fillId="0" borderId="2" xfId="0" applyFont="1" applyBorder="1" applyAlignment="1" applyProtection="1">
      <alignment horizontal="left" vertical="center" wrapText="1"/>
    </xf>
    <xf numFmtId="0" fontId="60" fillId="0" borderId="2" xfId="0" applyFont="1" applyFill="1" applyBorder="1" applyAlignment="1" applyProtection="1">
      <alignment horizontal="left" vertical="center" wrapText="1"/>
    </xf>
    <xf numFmtId="0" fontId="51" fillId="0" borderId="0" xfId="0" applyFont="1" applyAlignment="1">
      <alignment horizontal="left"/>
    </xf>
    <xf numFmtId="0" fontId="51" fillId="0" borderId="0" xfId="0" applyFont="1" applyAlignment="1">
      <alignment horizontal="left" wrapText="1"/>
    </xf>
    <xf numFmtId="0" fontId="44" fillId="0" borderId="0" xfId="1" applyFont="1" applyFill="1" applyBorder="1" applyAlignment="1" applyProtection="1">
      <alignment horizontal="left" wrapText="1"/>
    </xf>
    <xf numFmtId="0" fontId="51" fillId="0" borderId="0" xfId="0" applyFont="1" applyProtection="1"/>
    <xf numFmtId="49" fontId="38" fillId="0" borderId="0" xfId="0" applyNumberFormat="1" applyFont="1" applyAlignment="1">
      <alignment horizontal="center"/>
    </xf>
    <xf numFmtId="0" fontId="60" fillId="0" borderId="6" xfId="1" applyFont="1" applyFill="1" applyBorder="1" applyAlignment="1">
      <alignment horizontal="left"/>
    </xf>
    <xf numFmtId="0" fontId="60" fillId="0" borderId="7" xfId="1" applyFont="1" applyFill="1" applyBorder="1" applyAlignment="1">
      <alignment horizontal="left"/>
    </xf>
    <xf numFmtId="0" fontId="60" fillId="0" borderId="4" xfId="1" applyFont="1" applyFill="1" applyBorder="1" applyAlignment="1">
      <alignment horizontal="left"/>
    </xf>
    <xf numFmtId="0" fontId="70" fillId="0" borderId="6" xfId="1" applyFont="1" applyFill="1" applyBorder="1" applyAlignment="1">
      <alignment horizontal="left"/>
    </xf>
    <xf numFmtId="0" fontId="70" fillId="0" borderId="7" xfId="1" applyFont="1" applyFill="1" applyBorder="1" applyAlignment="1">
      <alignment horizontal="left"/>
    </xf>
    <xf numFmtId="0" fontId="70" fillId="0" borderId="4" xfId="1" applyFont="1" applyFill="1" applyBorder="1" applyAlignment="1">
      <alignment horizontal="left"/>
    </xf>
    <xf numFmtId="0" fontId="60" fillId="0" borderId="2" xfId="3" applyFont="1" applyBorder="1" applyAlignment="1">
      <alignment horizontal="left" wrapText="1"/>
    </xf>
    <xf numFmtId="0" fontId="19" fillId="0" borderId="6" xfId="0" applyFont="1" applyBorder="1" applyAlignment="1">
      <alignment horizontal="left"/>
    </xf>
    <xf numFmtId="0" fontId="19" fillId="0" borderId="7" xfId="0" applyFont="1" applyBorder="1" applyAlignment="1">
      <alignment horizontal="left"/>
    </xf>
    <xf numFmtId="0" fontId="19" fillId="0" borderId="4" xfId="0" applyFont="1" applyBorder="1" applyAlignment="1">
      <alignment horizontal="left"/>
    </xf>
    <xf numFmtId="0" fontId="60" fillId="0" borderId="2" xfId="3" applyFont="1" applyBorder="1" applyAlignment="1">
      <alignment horizontal="left"/>
    </xf>
    <xf numFmtId="49" fontId="60" fillId="0" borderId="2" xfId="3" applyNumberFormat="1" applyFont="1" applyBorder="1" applyAlignment="1">
      <alignment wrapText="1"/>
    </xf>
    <xf numFmtId="0" fontId="60" fillId="0" borderId="2" xfId="3" applyFont="1" applyBorder="1" applyAlignment="1">
      <alignment wrapText="1"/>
    </xf>
    <xf numFmtId="0" fontId="65" fillId="5" borderId="6" xfId="0" applyFont="1" applyFill="1" applyBorder="1" applyAlignment="1">
      <alignment horizontal="left"/>
    </xf>
    <xf numFmtId="0" fontId="65" fillId="5" borderId="7" xfId="0" applyFont="1" applyFill="1" applyBorder="1" applyAlignment="1">
      <alignment horizontal="left"/>
    </xf>
    <xf numFmtId="0" fontId="65" fillId="5" borderId="4" xfId="0" applyFont="1" applyFill="1" applyBorder="1" applyAlignment="1">
      <alignment horizontal="left"/>
    </xf>
    <xf numFmtId="0" fontId="60" fillId="0" borderId="6" xfId="0" applyFont="1" applyBorder="1" applyAlignment="1">
      <alignment horizontal="left"/>
    </xf>
    <xf numFmtId="0" fontId="60" fillId="0" borderId="7" xfId="0" applyFont="1" applyBorder="1" applyAlignment="1">
      <alignment horizontal="left"/>
    </xf>
    <xf numFmtId="0" fontId="60" fillId="0" borderId="4" xfId="0" applyFont="1" applyBorder="1" applyAlignment="1">
      <alignment horizontal="left"/>
    </xf>
    <xf numFmtId="0" fontId="60" fillId="0" borderId="6" xfId="3" applyFont="1" applyBorder="1" applyAlignment="1">
      <alignment horizontal="left" vertical="center" wrapText="1"/>
    </xf>
    <xf numFmtId="0" fontId="60" fillId="0" borderId="7" xfId="3" applyFont="1" applyBorder="1" applyAlignment="1">
      <alignment horizontal="left" vertical="center" wrapText="1"/>
    </xf>
    <xf numFmtId="0" fontId="60" fillId="0" borderId="4" xfId="3" applyFont="1" applyBorder="1" applyAlignment="1">
      <alignment horizontal="left" vertical="center" wrapText="1"/>
    </xf>
    <xf numFmtId="0" fontId="48" fillId="0" borderId="0" xfId="3" applyFont="1" applyBorder="1" applyAlignment="1">
      <alignment horizontal="left"/>
    </xf>
    <xf numFmtId="49" fontId="60" fillId="0" borderId="2" xfId="1" applyNumberFormat="1" applyFont="1" applyFill="1" applyBorder="1" applyAlignment="1"/>
    <xf numFmtId="0" fontId="60" fillId="0" borderId="2" xfId="1" applyFont="1" applyFill="1" applyBorder="1" applyAlignment="1"/>
    <xf numFmtId="0" fontId="60" fillId="0" borderId="2" xfId="3" applyFont="1" applyBorder="1" applyAlignment="1"/>
    <xf numFmtId="0" fontId="96" fillId="0" borderId="0" xfId="0" applyFont="1" applyBorder="1" applyAlignment="1">
      <alignment wrapText="1"/>
    </xf>
    <xf numFmtId="0" fontId="18" fillId="0" borderId="0" xfId="0" applyFont="1" applyBorder="1"/>
    <xf numFmtId="0" fontId="99" fillId="0" borderId="0" xfId="0" applyFont="1" applyAlignment="1">
      <alignment horizontal="center" vertical="top" wrapText="1"/>
    </xf>
    <xf numFmtId="0" fontId="64" fillId="0" borderId="0" xfId="0" applyFont="1" applyAlignment="1">
      <alignment horizontal="center" vertical="top" wrapText="1"/>
    </xf>
    <xf numFmtId="0" fontId="104" fillId="0" borderId="0" xfId="0" applyFont="1" applyAlignment="1">
      <alignment horizontal="center" vertical="top" wrapText="1"/>
    </xf>
    <xf numFmtId="0" fontId="105" fillId="0" borderId="0" xfId="0" applyFont="1" applyAlignment="1">
      <alignment horizontal="center" vertical="top" wrapText="1"/>
    </xf>
    <xf numFmtId="0" fontId="33" fillId="0" borderId="0" xfId="0" applyFont="1" applyAlignment="1">
      <alignment horizontal="center" vertical="top" wrapText="1"/>
    </xf>
    <xf numFmtId="0" fontId="107" fillId="0" borderId="0" xfId="0" applyFont="1" applyAlignment="1">
      <alignment horizontal="center" vertical="top" wrapText="1"/>
    </xf>
    <xf numFmtId="0" fontId="106" fillId="0" borderId="0" xfId="0" applyFont="1" applyAlignment="1">
      <alignment horizontal="center" vertical="top" wrapText="1"/>
    </xf>
    <xf numFmtId="0" fontId="19" fillId="0" borderId="0" xfId="0" applyFont="1" applyAlignment="1">
      <alignment horizontal="center"/>
    </xf>
    <xf numFmtId="0" fontId="56" fillId="0" borderId="0" xfId="0" applyFont="1" applyAlignment="1" applyProtection="1">
      <alignment horizontal="left" wrapText="1"/>
    </xf>
    <xf numFmtId="165" fontId="23" fillId="0" borderId="0" xfId="0" applyNumberFormat="1" applyFont="1" applyFill="1" applyBorder="1" applyAlignment="1" applyProtection="1">
      <alignment horizontal="left"/>
    </xf>
  </cellXfs>
  <cellStyles count="794">
    <cellStyle name="Bad" xfId="1" builtinId="27"/>
    <cellStyle name="Bad 2" xfId="108"/>
    <cellStyle name="Currency" xfId="2" builtinId="4"/>
    <cellStyle name="Currency 2" xfId="6"/>
    <cellStyle name="Currency 3" xfId="109"/>
    <cellStyle name="Hyperlink" xfId="5" builtinId="8"/>
    <cellStyle name="Hyperlink 2" xfId="19"/>
    <cellStyle name="Hyperlink 2 2" xfId="36"/>
    <cellStyle name="Normal" xfId="0" builtinId="0"/>
    <cellStyle name="Normal 2" xfId="3"/>
    <cellStyle name="Normal 2 10" xfId="73"/>
    <cellStyle name="Normal 2 10 2" xfId="175"/>
    <cellStyle name="Normal 2 10 2 2" xfId="371"/>
    <cellStyle name="Normal 2 10 2 3" xfId="567"/>
    <cellStyle name="Normal 2 10 2 4" xfId="761"/>
    <cellStyle name="Normal 2 10 3" xfId="273"/>
    <cellStyle name="Normal 2 10 4" xfId="469"/>
    <cellStyle name="Normal 2 10 5" xfId="664"/>
    <cellStyle name="Normal 2 11" xfId="106"/>
    <cellStyle name="Normal 2 11 2" xfId="305"/>
    <cellStyle name="Normal 2 12" xfId="110"/>
    <cellStyle name="Normal 2 12 2" xfId="306"/>
    <cellStyle name="Normal 2 12 3" xfId="502"/>
    <cellStyle name="Normal 2 12 4" xfId="696"/>
    <cellStyle name="Normal 2 13" xfId="208"/>
    <cellStyle name="Normal 2 14" xfId="404"/>
    <cellStyle name="Normal 2 15" xfId="599"/>
    <cellStyle name="Normal 2 2" xfId="7"/>
    <cellStyle name="Normal 2 2 10" xfId="405"/>
    <cellStyle name="Normal 2 2 11" xfId="600"/>
    <cellStyle name="Normal 2 2 2" xfId="11"/>
    <cellStyle name="Normal 2 2 2 2" xfId="28"/>
    <cellStyle name="Normal 2 2 2 2 2" xfId="62"/>
    <cellStyle name="Normal 2 2 2 2 2 2" xfId="164"/>
    <cellStyle name="Normal 2 2 2 2 2 2 2" xfId="360"/>
    <cellStyle name="Normal 2 2 2 2 2 2 3" xfId="556"/>
    <cellStyle name="Normal 2 2 2 2 2 2 4" xfId="750"/>
    <cellStyle name="Normal 2 2 2 2 2 3" xfId="262"/>
    <cellStyle name="Normal 2 2 2 2 2 4" xfId="458"/>
    <cellStyle name="Normal 2 2 2 2 2 5" xfId="653"/>
    <cellStyle name="Normal 2 2 2 2 3" xfId="94"/>
    <cellStyle name="Normal 2 2 2 2 3 2" xfId="196"/>
    <cellStyle name="Normal 2 2 2 2 3 2 2" xfId="392"/>
    <cellStyle name="Normal 2 2 2 2 3 2 3" xfId="588"/>
    <cellStyle name="Normal 2 2 2 2 3 2 4" xfId="782"/>
    <cellStyle name="Normal 2 2 2 2 3 3" xfId="294"/>
    <cellStyle name="Normal 2 2 2 2 3 4" xfId="490"/>
    <cellStyle name="Normal 2 2 2 2 3 5" xfId="685"/>
    <cellStyle name="Normal 2 2 2 2 4" xfId="131"/>
    <cellStyle name="Normal 2 2 2 2 4 2" xfId="327"/>
    <cellStyle name="Normal 2 2 2 2 4 3" xfId="523"/>
    <cellStyle name="Normal 2 2 2 2 4 4" xfId="717"/>
    <cellStyle name="Normal 2 2 2 2 5" xfId="229"/>
    <cellStyle name="Normal 2 2 2 2 6" xfId="425"/>
    <cellStyle name="Normal 2 2 2 2 7" xfId="620"/>
    <cellStyle name="Normal 2 2 2 3" xfId="46"/>
    <cellStyle name="Normal 2 2 2 3 2" xfId="148"/>
    <cellStyle name="Normal 2 2 2 3 2 2" xfId="344"/>
    <cellStyle name="Normal 2 2 2 3 2 3" xfId="540"/>
    <cellStyle name="Normal 2 2 2 3 2 4" xfId="734"/>
    <cellStyle name="Normal 2 2 2 3 3" xfId="246"/>
    <cellStyle name="Normal 2 2 2 3 4" xfId="442"/>
    <cellStyle name="Normal 2 2 2 3 5" xfId="637"/>
    <cellStyle name="Normal 2 2 2 4" xfId="78"/>
    <cellStyle name="Normal 2 2 2 4 2" xfId="180"/>
    <cellStyle name="Normal 2 2 2 4 2 2" xfId="376"/>
    <cellStyle name="Normal 2 2 2 4 2 3" xfId="572"/>
    <cellStyle name="Normal 2 2 2 4 2 4" xfId="766"/>
    <cellStyle name="Normal 2 2 2 4 3" xfId="278"/>
    <cellStyle name="Normal 2 2 2 4 4" xfId="474"/>
    <cellStyle name="Normal 2 2 2 4 5" xfId="669"/>
    <cellStyle name="Normal 2 2 2 5" xfId="115"/>
    <cellStyle name="Normal 2 2 2 5 2" xfId="311"/>
    <cellStyle name="Normal 2 2 2 5 3" xfId="507"/>
    <cellStyle name="Normal 2 2 2 5 4" xfId="701"/>
    <cellStyle name="Normal 2 2 2 6" xfId="213"/>
    <cellStyle name="Normal 2 2 2 7" xfId="409"/>
    <cellStyle name="Normal 2 2 2 8" xfId="604"/>
    <cellStyle name="Normal 2 2 3" xfId="15"/>
    <cellStyle name="Normal 2 2 3 2" xfId="32"/>
    <cellStyle name="Normal 2 2 3 2 2" xfId="66"/>
    <cellStyle name="Normal 2 2 3 2 2 2" xfId="168"/>
    <cellStyle name="Normal 2 2 3 2 2 2 2" xfId="364"/>
    <cellStyle name="Normal 2 2 3 2 2 2 3" xfId="560"/>
    <cellStyle name="Normal 2 2 3 2 2 2 4" xfId="754"/>
    <cellStyle name="Normal 2 2 3 2 2 3" xfId="266"/>
    <cellStyle name="Normal 2 2 3 2 2 4" xfId="462"/>
    <cellStyle name="Normal 2 2 3 2 2 5" xfId="657"/>
    <cellStyle name="Normal 2 2 3 2 3" xfId="98"/>
    <cellStyle name="Normal 2 2 3 2 3 2" xfId="200"/>
    <cellStyle name="Normal 2 2 3 2 3 2 2" xfId="396"/>
    <cellStyle name="Normal 2 2 3 2 3 2 3" xfId="592"/>
    <cellStyle name="Normal 2 2 3 2 3 2 4" xfId="786"/>
    <cellStyle name="Normal 2 2 3 2 3 3" xfId="298"/>
    <cellStyle name="Normal 2 2 3 2 3 4" xfId="494"/>
    <cellStyle name="Normal 2 2 3 2 3 5" xfId="689"/>
    <cellStyle name="Normal 2 2 3 2 4" xfId="135"/>
    <cellStyle name="Normal 2 2 3 2 4 2" xfId="331"/>
    <cellStyle name="Normal 2 2 3 2 4 3" xfId="527"/>
    <cellStyle name="Normal 2 2 3 2 4 4" xfId="721"/>
    <cellStyle name="Normal 2 2 3 2 5" xfId="233"/>
    <cellStyle name="Normal 2 2 3 2 6" xfId="429"/>
    <cellStyle name="Normal 2 2 3 2 7" xfId="624"/>
    <cellStyle name="Normal 2 2 3 3" xfId="50"/>
    <cellStyle name="Normal 2 2 3 3 2" xfId="152"/>
    <cellStyle name="Normal 2 2 3 3 2 2" xfId="348"/>
    <cellStyle name="Normal 2 2 3 3 2 3" xfId="544"/>
    <cellStyle name="Normal 2 2 3 3 2 4" xfId="738"/>
    <cellStyle name="Normal 2 2 3 3 3" xfId="250"/>
    <cellStyle name="Normal 2 2 3 3 4" xfId="446"/>
    <cellStyle name="Normal 2 2 3 3 5" xfId="641"/>
    <cellStyle name="Normal 2 2 3 4" xfId="82"/>
    <cellStyle name="Normal 2 2 3 4 2" xfId="184"/>
    <cellStyle name="Normal 2 2 3 4 2 2" xfId="380"/>
    <cellStyle name="Normal 2 2 3 4 2 3" xfId="576"/>
    <cellStyle name="Normal 2 2 3 4 2 4" xfId="770"/>
    <cellStyle name="Normal 2 2 3 4 3" xfId="282"/>
    <cellStyle name="Normal 2 2 3 4 4" xfId="478"/>
    <cellStyle name="Normal 2 2 3 4 5" xfId="673"/>
    <cellStyle name="Normal 2 2 3 5" xfId="119"/>
    <cellStyle name="Normal 2 2 3 5 2" xfId="315"/>
    <cellStyle name="Normal 2 2 3 5 3" xfId="511"/>
    <cellStyle name="Normal 2 2 3 5 4" xfId="705"/>
    <cellStyle name="Normal 2 2 3 6" xfId="217"/>
    <cellStyle name="Normal 2 2 3 7" xfId="413"/>
    <cellStyle name="Normal 2 2 3 8" xfId="608"/>
    <cellStyle name="Normal 2 2 4" xfId="20"/>
    <cellStyle name="Normal 2 2 4 2" xfId="37"/>
    <cellStyle name="Normal 2 2 4 2 2" xfId="70"/>
    <cellStyle name="Normal 2 2 4 2 2 2" xfId="172"/>
    <cellStyle name="Normal 2 2 4 2 2 2 2" xfId="368"/>
    <cellStyle name="Normal 2 2 4 2 2 2 3" xfId="564"/>
    <cellStyle name="Normal 2 2 4 2 2 2 4" xfId="758"/>
    <cellStyle name="Normal 2 2 4 2 2 3" xfId="270"/>
    <cellStyle name="Normal 2 2 4 2 2 4" xfId="466"/>
    <cellStyle name="Normal 2 2 4 2 2 5" xfId="661"/>
    <cellStyle name="Normal 2 2 4 2 3" xfId="102"/>
    <cellStyle name="Normal 2 2 4 2 3 2" xfId="204"/>
    <cellStyle name="Normal 2 2 4 2 3 2 2" xfId="400"/>
    <cellStyle name="Normal 2 2 4 2 3 2 3" xfId="596"/>
    <cellStyle name="Normal 2 2 4 2 3 2 4" xfId="790"/>
    <cellStyle name="Normal 2 2 4 2 3 3" xfId="302"/>
    <cellStyle name="Normal 2 2 4 2 3 4" xfId="498"/>
    <cellStyle name="Normal 2 2 4 2 3 5" xfId="693"/>
    <cellStyle name="Normal 2 2 4 2 4" xfId="139"/>
    <cellStyle name="Normal 2 2 4 2 4 2" xfId="335"/>
    <cellStyle name="Normal 2 2 4 2 4 3" xfId="531"/>
    <cellStyle name="Normal 2 2 4 2 4 4" xfId="725"/>
    <cellStyle name="Normal 2 2 4 2 5" xfId="237"/>
    <cellStyle name="Normal 2 2 4 2 6" xfId="433"/>
    <cellStyle name="Normal 2 2 4 2 7" xfId="628"/>
    <cellStyle name="Normal 2 2 4 3" xfId="54"/>
    <cellStyle name="Normal 2 2 4 3 2" xfId="156"/>
    <cellStyle name="Normal 2 2 4 3 2 2" xfId="352"/>
    <cellStyle name="Normal 2 2 4 3 2 3" xfId="548"/>
    <cellStyle name="Normal 2 2 4 3 2 4" xfId="742"/>
    <cellStyle name="Normal 2 2 4 3 3" xfId="254"/>
    <cellStyle name="Normal 2 2 4 3 4" xfId="450"/>
    <cellStyle name="Normal 2 2 4 3 5" xfId="645"/>
    <cellStyle name="Normal 2 2 4 4" xfId="86"/>
    <cellStyle name="Normal 2 2 4 4 2" xfId="188"/>
    <cellStyle name="Normal 2 2 4 4 2 2" xfId="384"/>
    <cellStyle name="Normal 2 2 4 4 2 3" xfId="580"/>
    <cellStyle name="Normal 2 2 4 4 2 4" xfId="774"/>
    <cellStyle name="Normal 2 2 4 4 3" xfId="286"/>
    <cellStyle name="Normal 2 2 4 4 4" xfId="482"/>
    <cellStyle name="Normal 2 2 4 4 5" xfId="677"/>
    <cellStyle name="Normal 2 2 4 5" xfId="123"/>
    <cellStyle name="Normal 2 2 4 5 2" xfId="319"/>
    <cellStyle name="Normal 2 2 4 5 3" xfId="515"/>
    <cellStyle name="Normal 2 2 4 5 4" xfId="709"/>
    <cellStyle name="Normal 2 2 4 6" xfId="221"/>
    <cellStyle name="Normal 2 2 4 7" xfId="417"/>
    <cellStyle name="Normal 2 2 4 8" xfId="612"/>
    <cellStyle name="Normal 2 2 5" xfId="24"/>
    <cellStyle name="Normal 2 2 5 2" xfId="58"/>
    <cellStyle name="Normal 2 2 5 2 2" xfId="160"/>
    <cellStyle name="Normal 2 2 5 2 2 2" xfId="356"/>
    <cellStyle name="Normal 2 2 5 2 2 3" xfId="552"/>
    <cellStyle name="Normal 2 2 5 2 2 4" xfId="746"/>
    <cellStyle name="Normal 2 2 5 2 3" xfId="258"/>
    <cellStyle name="Normal 2 2 5 2 4" xfId="454"/>
    <cellStyle name="Normal 2 2 5 2 5" xfId="649"/>
    <cellStyle name="Normal 2 2 5 3" xfId="90"/>
    <cellStyle name="Normal 2 2 5 3 2" xfId="192"/>
    <cellStyle name="Normal 2 2 5 3 2 2" xfId="388"/>
    <cellStyle name="Normal 2 2 5 3 2 3" xfId="584"/>
    <cellStyle name="Normal 2 2 5 3 2 4" xfId="778"/>
    <cellStyle name="Normal 2 2 5 3 3" xfId="290"/>
    <cellStyle name="Normal 2 2 5 3 4" xfId="486"/>
    <cellStyle name="Normal 2 2 5 3 5" xfId="681"/>
    <cellStyle name="Normal 2 2 5 4" xfId="127"/>
    <cellStyle name="Normal 2 2 5 4 2" xfId="323"/>
    <cellStyle name="Normal 2 2 5 4 3" xfId="519"/>
    <cellStyle name="Normal 2 2 5 4 4" xfId="713"/>
    <cellStyle name="Normal 2 2 5 5" xfId="225"/>
    <cellStyle name="Normal 2 2 5 6" xfId="421"/>
    <cellStyle name="Normal 2 2 5 7" xfId="616"/>
    <cellStyle name="Normal 2 2 6" xfId="42"/>
    <cellStyle name="Normal 2 2 6 2" xfId="144"/>
    <cellStyle name="Normal 2 2 6 2 2" xfId="340"/>
    <cellStyle name="Normal 2 2 6 2 3" xfId="536"/>
    <cellStyle name="Normal 2 2 6 2 4" xfId="730"/>
    <cellStyle name="Normal 2 2 6 3" xfId="242"/>
    <cellStyle name="Normal 2 2 6 4" xfId="438"/>
    <cellStyle name="Normal 2 2 6 5" xfId="633"/>
    <cellStyle name="Normal 2 2 7" xfId="74"/>
    <cellStyle name="Normal 2 2 7 2" xfId="176"/>
    <cellStyle name="Normal 2 2 7 2 2" xfId="372"/>
    <cellStyle name="Normal 2 2 7 2 3" xfId="568"/>
    <cellStyle name="Normal 2 2 7 2 4" xfId="762"/>
    <cellStyle name="Normal 2 2 7 3" xfId="274"/>
    <cellStyle name="Normal 2 2 7 4" xfId="470"/>
    <cellStyle name="Normal 2 2 7 5" xfId="665"/>
    <cellStyle name="Normal 2 2 8" xfId="111"/>
    <cellStyle name="Normal 2 2 8 2" xfId="307"/>
    <cellStyle name="Normal 2 2 8 3" xfId="503"/>
    <cellStyle name="Normal 2 2 8 4" xfId="697"/>
    <cellStyle name="Normal 2 2 9" xfId="209"/>
    <cellStyle name="Normal 2 3" xfId="8"/>
    <cellStyle name="Normal 2 3 10" xfId="406"/>
    <cellStyle name="Normal 2 3 11" xfId="601"/>
    <cellStyle name="Normal 2 3 2" xfId="12"/>
    <cellStyle name="Normal 2 3 2 2" xfId="29"/>
    <cellStyle name="Normal 2 3 2 2 2" xfId="63"/>
    <cellStyle name="Normal 2 3 2 2 2 2" xfId="165"/>
    <cellStyle name="Normal 2 3 2 2 2 2 2" xfId="361"/>
    <cellStyle name="Normal 2 3 2 2 2 2 3" xfId="557"/>
    <cellStyle name="Normal 2 3 2 2 2 2 4" xfId="751"/>
    <cellStyle name="Normal 2 3 2 2 2 3" xfId="263"/>
    <cellStyle name="Normal 2 3 2 2 2 4" xfId="459"/>
    <cellStyle name="Normal 2 3 2 2 2 5" xfId="654"/>
    <cellStyle name="Normal 2 3 2 2 3" xfId="95"/>
    <cellStyle name="Normal 2 3 2 2 3 2" xfId="197"/>
    <cellStyle name="Normal 2 3 2 2 3 2 2" xfId="393"/>
    <cellStyle name="Normal 2 3 2 2 3 2 3" xfId="589"/>
    <cellStyle name="Normal 2 3 2 2 3 2 4" xfId="783"/>
    <cellStyle name="Normal 2 3 2 2 3 3" xfId="295"/>
    <cellStyle name="Normal 2 3 2 2 3 4" xfId="491"/>
    <cellStyle name="Normal 2 3 2 2 3 5" xfId="686"/>
    <cellStyle name="Normal 2 3 2 2 4" xfId="132"/>
    <cellStyle name="Normal 2 3 2 2 4 2" xfId="328"/>
    <cellStyle name="Normal 2 3 2 2 4 3" xfId="524"/>
    <cellStyle name="Normal 2 3 2 2 4 4" xfId="718"/>
    <cellStyle name="Normal 2 3 2 2 5" xfId="230"/>
    <cellStyle name="Normal 2 3 2 2 6" xfId="426"/>
    <cellStyle name="Normal 2 3 2 2 7" xfId="621"/>
    <cellStyle name="Normal 2 3 2 3" xfId="47"/>
    <cellStyle name="Normal 2 3 2 3 2" xfId="149"/>
    <cellStyle name="Normal 2 3 2 3 2 2" xfId="345"/>
    <cellStyle name="Normal 2 3 2 3 2 3" xfId="541"/>
    <cellStyle name="Normal 2 3 2 3 2 4" xfId="735"/>
    <cellStyle name="Normal 2 3 2 3 3" xfId="247"/>
    <cellStyle name="Normal 2 3 2 3 4" xfId="443"/>
    <cellStyle name="Normal 2 3 2 3 5" xfId="638"/>
    <cellStyle name="Normal 2 3 2 4" xfId="79"/>
    <cellStyle name="Normal 2 3 2 4 2" xfId="181"/>
    <cellStyle name="Normal 2 3 2 4 2 2" xfId="377"/>
    <cellStyle name="Normal 2 3 2 4 2 3" xfId="573"/>
    <cellStyle name="Normal 2 3 2 4 2 4" xfId="767"/>
    <cellStyle name="Normal 2 3 2 4 3" xfId="279"/>
    <cellStyle name="Normal 2 3 2 4 4" xfId="475"/>
    <cellStyle name="Normal 2 3 2 4 5" xfId="670"/>
    <cellStyle name="Normal 2 3 2 5" xfId="116"/>
    <cellStyle name="Normal 2 3 2 5 2" xfId="312"/>
    <cellStyle name="Normal 2 3 2 5 3" xfId="508"/>
    <cellStyle name="Normal 2 3 2 5 4" xfId="702"/>
    <cellStyle name="Normal 2 3 2 6" xfId="214"/>
    <cellStyle name="Normal 2 3 2 7" xfId="410"/>
    <cellStyle name="Normal 2 3 2 8" xfId="605"/>
    <cellStyle name="Normal 2 3 3" xfId="16"/>
    <cellStyle name="Normal 2 3 3 2" xfId="33"/>
    <cellStyle name="Normal 2 3 3 2 2" xfId="67"/>
    <cellStyle name="Normal 2 3 3 2 2 2" xfId="169"/>
    <cellStyle name="Normal 2 3 3 2 2 2 2" xfId="365"/>
    <cellStyle name="Normal 2 3 3 2 2 2 3" xfId="561"/>
    <cellStyle name="Normal 2 3 3 2 2 2 4" xfId="755"/>
    <cellStyle name="Normal 2 3 3 2 2 3" xfId="267"/>
    <cellStyle name="Normal 2 3 3 2 2 4" xfId="463"/>
    <cellStyle name="Normal 2 3 3 2 2 5" xfId="658"/>
    <cellStyle name="Normal 2 3 3 2 3" xfId="99"/>
    <cellStyle name="Normal 2 3 3 2 3 2" xfId="201"/>
    <cellStyle name="Normal 2 3 3 2 3 2 2" xfId="397"/>
    <cellStyle name="Normal 2 3 3 2 3 2 3" xfId="593"/>
    <cellStyle name="Normal 2 3 3 2 3 2 4" xfId="787"/>
    <cellStyle name="Normal 2 3 3 2 3 3" xfId="299"/>
    <cellStyle name="Normal 2 3 3 2 3 4" xfId="495"/>
    <cellStyle name="Normal 2 3 3 2 3 5" xfId="690"/>
    <cellStyle name="Normal 2 3 3 2 4" xfId="136"/>
    <cellStyle name="Normal 2 3 3 2 4 2" xfId="332"/>
    <cellStyle name="Normal 2 3 3 2 4 3" xfId="528"/>
    <cellStyle name="Normal 2 3 3 2 4 4" xfId="722"/>
    <cellStyle name="Normal 2 3 3 2 5" xfId="234"/>
    <cellStyle name="Normal 2 3 3 2 6" xfId="430"/>
    <cellStyle name="Normal 2 3 3 2 7" xfId="625"/>
    <cellStyle name="Normal 2 3 3 3" xfId="51"/>
    <cellStyle name="Normal 2 3 3 3 2" xfId="153"/>
    <cellStyle name="Normal 2 3 3 3 2 2" xfId="349"/>
    <cellStyle name="Normal 2 3 3 3 2 3" xfId="545"/>
    <cellStyle name="Normal 2 3 3 3 2 4" xfId="739"/>
    <cellStyle name="Normal 2 3 3 3 3" xfId="251"/>
    <cellStyle name="Normal 2 3 3 3 4" xfId="447"/>
    <cellStyle name="Normal 2 3 3 3 5" xfId="642"/>
    <cellStyle name="Normal 2 3 3 4" xfId="83"/>
    <cellStyle name="Normal 2 3 3 4 2" xfId="185"/>
    <cellStyle name="Normal 2 3 3 4 2 2" xfId="381"/>
    <cellStyle name="Normal 2 3 3 4 2 3" xfId="577"/>
    <cellStyle name="Normal 2 3 3 4 2 4" xfId="771"/>
    <cellStyle name="Normal 2 3 3 4 3" xfId="283"/>
    <cellStyle name="Normal 2 3 3 4 4" xfId="479"/>
    <cellStyle name="Normal 2 3 3 4 5" xfId="674"/>
    <cellStyle name="Normal 2 3 3 5" xfId="120"/>
    <cellStyle name="Normal 2 3 3 5 2" xfId="316"/>
    <cellStyle name="Normal 2 3 3 5 3" xfId="512"/>
    <cellStyle name="Normal 2 3 3 5 4" xfId="706"/>
    <cellStyle name="Normal 2 3 3 6" xfId="218"/>
    <cellStyle name="Normal 2 3 3 7" xfId="414"/>
    <cellStyle name="Normal 2 3 3 8" xfId="609"/>
    <cellStyle name="Normal 2 3 4" xfId="21"/>
    <cellStyle name="Normal 2 3 4 2" xfId="38"/>
    <cellStyle name="Normal 2 3 4 2 2" xfId="71"/>
    <cellStyle name="Normal 2 3 4 2 2 2" xfId="173"/>
    <cellStyle name="Normal 2 3 4 2 2 2 2" xfId="369"/>
    <cellStyle name="Normal 2 3 4 2 2 2 3" xfId="565"/>
    <cellStyle name="Normal 2 3 4 2 2 2 4" xfId="759"/>
    <cellStyle name="Normal 2 3 4 2 2 3" xfId="271"/>
    <cellStyle name="Normal 2 3 4 2 2 4" xfId="467"/>
    <cellStyle name="Normal 2 3 4 2 2 5" xfId="662"/>
    <cellStyle name="Normal 2 3 4 2 3" xfId="103"/>
    <cellStyle name="Normal 2 3 4 2 3 2" xfId="205"/>
    <cellStyle name="Normal 2 3 4 2 3 2 2" xfId="401"/>
    <cellStyle name="Normal 2 3 4 2 3 2 3" xfId="597"/>
    <cellStyle name="Normal 2 3 4 2 3 2 4" xfId="791"/>
    <cellStyle name="Normal 2 3 4 2 3 3" xfId="303"/>
    <cellStyle name="Normal 2 3 4 2 3 4" xfId="499"/>
    <cellStyle name="Normal 2 3 4 2 3 5" xfId="694"/>
    <cellStyle name="Normal 2 3 4 2 4" xfId="140"/>
    <cellStyle name="Normal 2 3 4 2 4 2" xfId="336"/>
    <cellStyle name="Normal 2 3 4 2 4 3" xfId="532"/>
    <cellStyle name="Normal 2 3 4 2 4 4" xfId="726"/>
    <cellStyle name="Normal 2 3 4 2 5" xfId="238"/>
    <cellStyle name="Normal 2 3 4 2 6" xfId="434"/>
    <cellStyle name="Normal 2 3 4 2 7" xfId="629"/>
    <cellStyle name="Normal 2 3 4 3" xfId="55"/>
    <cellStyle name="Normal 2 3 4 3 2" xfId="157"/>
    <cellStyle name="Normal 2 3 4 3 2 2" xfId="353"/>
    <cellStyle name="Normal 2 3 4 3 2 3" xfId="549"/>
    <cellStyle name="Normal 2 3 4 3 2 4" xfId="743"/>
    <cellStyle name="Normal 2 3 4 3 3" xfId="255"/>
    <cellStyle name="Normal 2 3 4 3 4" xfId="451"/>
    <cellStyle name="Normal 2 3 4 3 5" xfId="646"/>
    <cellStyle name="Normal 2 3 4 4" xfId="87"/>
    <cellStyle name="Normal 2 3 4 4 2" xfId="189"/>
    <cellStyle name="Normal 2 3 4 4 2 2" xfId="385"/>
    <cellStyle name="Normal 2 3 4 4 2 3" xfId="581"/>
    <cellStyle name="Normal 2 3 4 4 2 4" xfId="775"/>
    <cellStyle name="Normal 2 3 4 4 3" xfId="287"/>
    <cellStyle name="Normal 2 3 4 4 4" xfId="483"/>
    <cellStyle name="Normal 2 3 4 4 5" xfId="678"/>
    <cellStyle name="Normal 2 3 4 5" xfId="124"/>
    <cellStyle name="Normal 2 3 4 5 2" xfId="320"/>
    <cellStyle name="Normal 2 3 4 5 3" xfId="516"/>
    <cellStyle name="Normal 2 3 4 5 4" xfId="710"/>
    <cellStyle name="Normal 2 3 4 6" xfId="222"/>
    <cellStyle name="Normal 2 3 4 7" xfId="418"/>
    <cellStyle name="Normal 2 3 4 8" xfId="613"/>
    <cellStyle name="Normal 2 3 5" xfId="25"/>
    <cellStyle name="Normal 2 3 5 2" xfId="59"/>
    <cellStyle name="Normal 2 3 5 2 2" xfId="161"/>
    <cellStyle name="Normal 2 3 5 2 2 2" xfId="357"/>
    <cellStyle name="Normal 2 3 5 2 2 3" xfId="553"/>
    <cellStyle name="Normal 2 3 5 2 2 4" xfId="747"/>
    <cellStyle name="Normal 2 3 5 2 3" xfId="259"/>
    <cellStyle name="Normal 2 3 5 2 4" xfId="455"/>
    <cellStyle name="Normal 2 3 5 2 5" xfId="650"/>
    <cellStyle name="Normal 2 3 5 3" xfId="91"/>
    <cellStyle name="Normal 2 3 5 3 2" xfId="193"/>
    <cellStyle name="Normal 2 3 5 3 2 2" xfId="389"/>
    <cellStyle name="Normal 2 3 5 3 2 3" xfId="585"/>
    <cellStyle name="Normal 2 3 5 3 2 4" xfId="779"/>
    <cellStyle name="Normal 2 3 5 3 3" xfId="291"/>
    <cellStyle name="Normal 2 3 5 3 4" xfId="487"/>
    <cellStyle name="Normal 2 3 5 3 5" xfId="682"/>
    <cellStyle name="Normal 2 3 5 4" xfId="128"/>
    <cellStyle name="Normal 2 3 5 4 2" xfId="324"/>
    <cellStyle name="Normal 2 3 5 4 3" xfId="520"/>
    <cellStyle name="Normal 2 3 5 4 4" xfId="714"/>
    <cellStyle name="Normal 2 3 5 5" xfId="226"/>
    <cellStyle name="Normal 2 3 5 6" xfId="422"/>
    <cellStyle name="Normal 2 3 5 7" xfId="617"/>
    <cellStyle name="Normal 2 3 6" xfId="43"/>
    <cellStyle name="Normal 2 3 6 2" xfId="145"/>
    <cellStyle name="Normal 2 3 6 2 2" xfId="341"/>
    <cellStyle name="Normal 2 3 6 2 3" xfId="537"/>
    <cellStyle name="Normal 2 3 6 2 4" xfId="731"/>
    <cellStyle name="Normal 2 3 6 3" xfId="243"/>
    <cellStyle name="Normal 2 3 6 4" xfId="439"/>
    <cellStyle name="Normal 2 3 6 5" xfId="634"/>
    <cellStyle name="Normal 2 3 7" xfId="75"/>
    <cellStyle name="Normal 2 3 7 2" xfId="177"/>
    <cellStyle name="Normal 2 3 7 2 2" xfId="373"/>
    <cellStyle name="Normal 2 3 7 2 3" xfId="569"/>
    <cellStyle name="Normal 2 3 7 2 4" xfId="763"/>
    <cellStyle name="Normal 2 3 7 3" xfId="275"/>
    <cellStyle name="Normal 2 3 7 4" xfId="471"/>
    <cellStyle name="Normal 2 3 7 5" xfId="666"/>
    <cellStyle name="Normal 2 3 8" xfId="112"/>
    <cellStyle name="Normal 2 3 8 2" xfId="308"/>
    <cellStyle name="Normal 2 3 8 3" xfId="504"/>
    <cellStyle name="Normal 2 3 8 4" xfId="698"/>
    <cellStyle name="Normal 2 3 9" xfId="210"/>
    <cellStyle name="Normal 2 4" xfId="9"/>
    <cellStyle name="Normal 2 4 10" xfId="407"/>
    <cellStyle name="Normal 2 4 11" xfId="602"/>
    <cellStyle name="Normal 2 4 2" xfId="13"/>
    <cellStyle name="Normal 2 4 2 2" xfId="30"/>
    <cellStyle name="Normal 2 4 2 2 2" xfId="64"/>
    <cellStyle name="Normal 2 4 2 2 2 2" xfId="166"/>
    <cellStyle name="Normal 2 4 2 2 2 2 2" xfId="362"/>
    <cellStyle name="Normal 2 4 2 2 2 2 3" xfId="558"/>
    <cellStyle name="Normal 2 4 2 2 2 2 4" xfId="752"/>
    <cellStyle name="Normal 2 4 2 2 2 3" xfId="264"/>
    <cellStyle name="Normal 2 4 2 2 2 4" xfId="460"/>
    <cellStyle name="Normal 2 4 2 2 2 5" xfId="655"/>
    <cellStyle name="Normal 2 4 2 2 3" xfId="96"/>
    <cellStyle name="Normal 2 4 2 2 3 2" xfId="198"/>
    <cellStyle name="Normal 2 4 2 2 3 2 2" xfId="394"/>
    <cellStyle name="Normal 2 4 2 2 3 2 3" xfId="590"/>
    <cellStyle name="Normal 2 4 2 2 3 2 4" xfId="784"/>
    <cellStyle name="Normal 2 4 2 2 3 3" xfId="296"/>
    <cellStyle name="Normal 2 4 2 2 3 4" xfId="492"/>
    <cellStyle name="Normal 2 4 2 2 3 5" xfId="687"/>
    <cellStyle name="Normal 2 4 2 2 4" xfId="133"/>
    <cellStyle name="Normal 2 4 2 2 4 2" xfId="329"/>
    <cellStyle name="Normal 2 4 2 2 4 3" xfId="525"/>
    <cellStyle name="Normal 2 4 2 2 4 4" xfId="719"/>
    <cellStyle name="Normal 2 4 2 2 5" xfId="231"/>
    <cellStyle name="Normal 2 4 2 2 6" xfId="427"/>
    <cellStyle name="Normal 2 4 2 2 7" xfId="622"/>
    <cellStyle name="Normal 2 4 2 3" xfId="48"/>
    <cellStyle name="Normal 2 4 2 3 2" xfId="150"/>
    <cellStyle name="Normal 2 4 2 3 2 2" xfId="346"/>
    <cellStyle name="Normal 2 4 2 3 2 3" xfId="542"/>
    <cellStyle name="Normal 2 4 2 3 2 4" xfId="736"/>
    <cellStyle name="Normal 2 4 2 3 3" xfId="248"/>
    <cellStyle name="Normal 2 4 2 3 4" xfId="444"/>
    <cellStyle name="Normal 2 4 2 3 5" xfId="639"/>
    <cellStyle name="Normal 2 4 2 4" xfId="80"/>
    <cellStyle name="Normal 2 4 2 4 2" xfId="182"/>
    <cellStyle name="Normal 2 4 2 4 2 2" xfId="378"/>
    <cellStyle name="Normal 2 4 2 4 2 3" xfId="574"/>
    <cellStyle name="Normal 2 4 2 4 2 4" xfId="768"/>
    <cellStyle name="Normal 2 4 2 4 3" xfId="280"/>
    <cellStyle name="Normal 2 4 2 4 4" xfId="476"/>
    <cellStyle name="Normal 2 4 2 4 5" xfId="671"/>
    <cellStyle name="Normal 2 4 2 5" xfId="117"/>
    <cellStyle name="Normal 2 4 2 5 2" xfId="313"/>
    <cellStyle name="Normal 2 4 2 5 3" xfId="509"/>
    <cellStyle name="Normal 2 4 2 5 4" xfId="703"/>
    <cellStyle name="Normal 2 4 2 6" xfId="215"/>
    <cellStyle name="Normal 2 4 2 7" xfId="411"/>
    <cellStyle name="Normal 2 4 2 8" xfId="606"/>
    <cellStyle name="Normal 2 4 3" xfId="17"/>
    <cellStyle name="Normal 2 4 3 2" xfId="34"/>
    <cellStyle name="Normal 2 4 3 2 2" xfId="68"/>
    <cellStyle name="Normal 2 4 3 2 2 2" xfId="170"/>
    <cellStyle name="Normal 2 4 3 2 2 2 2" xfId="366"/>
    <cellStyle name="Normal 2 4 3 2 2 2 3" xfId="562"/>
    <cellStyle name="Normal 2 4 3 2 2 2 4" xfId="756"/>
    <cellStyle name="Normal 2 4 3 2 2 3" xfId="268"/>
    <cellStyle name="Normal 2 4 3 2 2 4" xfId="464"/>
    <cellStyle name="Normal 2 4 3 2 2 5" xfId="659"/>
    <cellStyle name="Normal 2 4 3 2 3" xfId="100"/>
    <cellStyle name="Normal 2 4 3 2 3 2" xfId="202"/>
    <cellStyle name="Normal 2 4 3 2 3 2 2" xfId="398"/>
    <cellStyle name="Normal 2 4 3 2 3 2 3" xfId="594"/>
    <cellStyle name="Normal 2 4 3 2 3 2 4" xfId="788"/>
    <cellStyle name="Normal 2 4 3 2 3 3" xfId="300"/>
    <cellStyle name="Normal 2 4 3 2 3 4" xfId="496"/>
    <cellStyle name="Normal 2 4 3 2 3 5" xfId="691"/>
    <cellStyle name="Normal 2 4 3 2 4" xfId="137"/>
    <cellStyle name="Normal 2 4 3 2 4 2" xfId="333"/>
    <cellStyle name="Normal 2 4 3 2 4 3" xfId="529"/>
    <cellStyle name="Normal 2 4 3 2 4 4" xfId="723"/>
    <cellStyle name="Normal 2 4 3 2 5" xfId="235"/>
    <cellStyle name="Normal 2 4 3 2 6" xfId="431"/>
    <cellStyle name="Normal 2 4 3 2 7" xfId="626"/>
    <cellStyle name="Normal 2 4 3 3" xfId="52"/>
    <cellStyle name="Normal 2 4 3 3 2" xfId="154"/>
    <cellStyle name="Normal 2 4 3 3 2 2" xfId="350"/>
    <cellStyle name="Normal 2 4 3 3 2 3" xfId="546"/>
    <cellStyle name="Normal 2 4 3 3 2 4" xfId="740"/>
    <cellStyle name="Normal 2 4 3 3 3" xfId="252"/>
    <cellStyle name="Normal 2 4 3 3 4" xfId="448"/>
    <cellStyle name="Normal 2 4 3 3 5" xfId="643"/>
    <cellStyle name="Normal 2 4 3 4" xfId="84"/>
    <cellStyle name="Normal 2 4 3 4 2" xfId="186"/>
    <cellStyle name="Normal 2 4 3 4 2 2" xfId="382"/>
    <cellStyle name="Normal 2 4 3 4 2 3" xfId="578"/>
    <cellStyle name="Normal 2 4 3 4 2 4" xfId="772"/>
    <cellStyle name="Normal 2 4 3 4 3" xfId="284"/>
    <cellStyle name="Normal 2 4 3 4 4" xfId="480"/>
    <cellStyle name="Normal 2 4 3 4 5" xfId="675"/>
    <cellStyle name="Normal 2 4 3 5" xfId="121"/>
    <cellStyle name="Normal 2 4 3 5 2" xfId="317"/>
    <cellStyle name="Normal 2 4 3 5 3" xfId="513"/>
    <cellStyle name="Normal 2 4 3 5 4" xfId="707"/>
    <cellStyle name="Normal 2 4 3 6" xfId="219"/>
    <cellStyle name="Normal 2 4 3 7" xfId="415"/>
    <cellStyle name="Normal 2 4 3 8" xfId="610"/>
    <cellStyle name="Normal 2 4 4" xfId="22"/>
    <cellStyle name="Normal 2 4 4 2" xfId="39"/>
    <cellStyle name="Normal 2 4 4 2 2" xfId="72"/>
    <cellStyle name="Normal 2 4 4 2 2 2" xfId="174"/>
    <cellStyle name="Normal 2 4 4 2 2 2 2" xfId="370"/>
    <cellStyle name="Normal 2 4 4 2 2 2 3" xfId="566"/>
    <cellStyle name="Normal 2 4 4 2 2 2 4" xfId="760"/>
    <cellStyle name="Normal 2 4 4 2 2 3" xfId="272"/>
    <cellStyle name="Normal 2 4 4 2 2 4" xfId="468"/>
    <cellStyle name="Normal 2 4 4 2 2 5" xfId="663"/>
    <cellStyle name="Normal 2 4 4 2 3" xfId="104"/>
    <cellStyle name="Normal 2 4 4 2 3 2" xfId="206"/>
    <cellStyle name="Normal 2 4 4 2 3 2 2" xfId="402"/>
    <cellStyle name="Normal 2 4 4 2 3 2 3" xfId="598"/>
    <cellStyle name="Normal 2 4 4 2 3 2 4" xfId="792"/>
    <cellStyle name="Normal 2 4 4 2 3 3" xfId="304"/>
    <cellStyle name="Normal 2 4 4 2 3 4" xfId="500"/>
    <cellStyle name="Normal 2 4 4 2 3 5" xfId="695"/>
    <cellStyle name="Normal 2 4 4 2 4" xfId="141"/>
    <cellStyle name="Normal 2 4 4 2 4 2" xfId="337"/>
    <cellStyle name="Normal 2 4 4 2 4 3" xfId="533"/>
    <cellStyle name="Normal 2 4 4 2 4 4" xfId="727"/>
    <cellStyle name="Normal 2 4 4 2 5" xfId="239"/>
    <cellStyle name="Normal 2 4 4 2 6" xfId="435"/>
    <cellStyle name="Normal 2 4 4 2 7" xfId="630"/>
    <cellStyle name="Normal 2 4 4 3" xfId="56"/>
    <cellStyle name="Normal 2 4 4 3 2" xfId="158"/>
    <cellStyle name="Normal 2 4 4 3 2 2" xfId="354"/>
    <cellStyle name="Normal 2 4 4 3 2 3" xfId="550"/>
    <cellStyle name="Normal 2 4 4 3 2 4" xfId="744"/>
    <cellStyle name="Normal 2 4 4 3 3" xfId="256"/>
    <cellStyle name="Normal 2 4 4 3 4" xfId="452"/>
    <cellStyle name="Normal 2 4 4 3 5" xfId="647"/>
    <cellStyle name="Normal 2 4 4 4" xfId="88"/>
    <cellStyle name="Normal 2 4 4 4 2" xfId="190"/>
    <cellStyle name="Normal 2 4 4 4 2 2" xfId="386"/>
    <cellStyle name="Normal 2 4 4 4 2 3" xfId="582"/>
    <cellStyle name="Normal 2 4 4 4 2 4" xfId="776"/>
    <cellStyle name="Normal 2 4 4 4 3" xfId="288"/>
    <cellStyle name="Normal 2 4 4 4 4" xfId="484"/>
    <cellStyle name="Normal 2 4 4 4 5" xfId="679"/>
    <cellStyle name="Normal 2 4 4 5" xfId="125"/>
    <cellStyle name="Normal 2 4 4 5 2" xfId="321"/>
    <cellStyle name="Normal 2 4 4 5 3" xfId="517"/>
    <cellStyle name="Normal 2 4 4 5 4" xfId="711"/>
    <cellStyle name="Normal 2 4 4 6" xfId="223"/>
    <cellStyle name="Normal 2 4 4 7" xfId="419"/>
    <cellStyle name="Normal 2 4 4 8" xfId="614"/>
    <cellStyle name="Normal 2 4 5" xfId="26"/>
    <cellStyle name="Normal 2 4 5 2" xfId="60"/>
    <cellStyle name="Normal 2 4 5 2 2" xfId="162"/>
    <cellStyle name="Normal 2 4 5 2 2 2" xfId="358"/>
    <cellStyle name="Normal 2 4 5 2 2 3" xfId="554"/>
    <cellStyle name="Normal 2 4 5 2 2 4" xfId="748"/>
    <cellStyle name="Normal 2 4 5 2 3" xfId="260"/>
    <cellStyle name="Normal 2 4 5 2 4" xfId="456"/>
    <cellStyle name="Normal 2 4 5 2 5" xfId="651"/>
    <cellStyle name="Normal 2 4 5 3" xfId="92"/>
    <cellStyle name="Normal 2 4 5 3 2" xfId="194"/>
    <cellStyle name="Normal 2 4 5 3 2 2" xfId="390"/>
    <cellStyle name="Normal 2 4 5 3 2 3" xfId="586"/>
    <cellStyle name="Normal 2 4 5 3 2 4" xfId="780"/>
    <cellStyle name="Normal 2 4 5 3 3" xfId="292"/>
    <cellStyle name="Normal 2 4 5 3 4" xfId="488"/>
    <cellStyle name="Normal 2 4 5 3 5" xfId="683"/>
    <cellStyle name="Normal 2 4 5 4" xfId="129"/>
    <cellStyle name="Normal 2 4 5 4 2" xfId="325"/>
    <cellStyle name="Normal 2 4 5 4 3" xfId="521"/>
    <cellStyle name="Normal 2 4 5 4 4" xfId="715"/>
    <cellStyle name="Normal 2 4 5 5" xfId="227"/>
    <cellStyle name="Normal 2 4 5 6" xfId="423"/>
    <cellStyle name="Normal 2 4 5 7" xfId="618"/>
    <cellStyle name="Normal 2 4 6" xfId="44"/>
    <cellStyle name="Normal 2 4 6 2" xfId="146"/>
    <cellStyle name="Normal 2 4 6 2 2" xfId="342"/>
    <cellStyle name="Normal 2 4 6 2 3" xfId="538"/>
    <cellStyle name="Normal 2 4 6 2 4" xfId="732"/>
    <cellStyle name="Normal 2 4 6 3" xfId="244"/>
    <cellStyle name="Normal 2 4 6 4" xfId="440"/>
    <cellStyle name="Normal 2 4 6 5" xfId="635"/>
    <cellStyle name="Normal 2 4 7" xfId="76"/>
    <cellStyle name="Normal 2 4 7 2" xfId="178"/>
    <cellStyle name="Normal 2 4 7 2 2" xfId="374"/>
    <cellStyle name="Normal 2 4 7 2 3" xfId="570"/>
    <cellStyle name="Normal 2 4 7 2 4" xfId="764"/>
    <cellStyle name="Normal 2 4 7 3" xfId="276"/>
    <cellStyle name="Normal 2 4 7 4" xfId="472"/>
    <cellStyle name="Normal 2 4 7 5" xfId="667"/>
    <cellStyle name="Normal 2 4 8" xfId="113"/>
    <cellStyle name="Normal 2 4 8 2" xfId="309"/>
    <cellStyle name="Normal 2 4 8 3" xfId="505"/>
    <cellStyle name="Normal 2 4 8 4" xfId="699"/>
    <cellStyle name="Normal 2 4 9" xfId="211"/>
    <cellStyle name="Normal 2 5" xfId="10"/>
    <cellStyle name="Normal 2 5 2" xfId="27"/>
    <cellStyle name="Normal 2 5 2 2" xfId="61"/>
    <cellStyle name="Normal 2 5 2 2 2" xfId="163"/>
    <cellStyle name="Normal 2 5 2 2 2 2" xfId="359"/>
    <cellStyle name="Normal 2 5 2 2 2 3" xfId="555"/>
    <cellStyle name="Normal 2 5 2 2 2 4" xfId="749"/>
    <cellStyle name="Normal 2 5 2 2 3" xfId="261"/>
    <cellStyle name="Normal 2 5 2 2 4" xfId="457"/>
    <cellStyle name="Normal 2 5 2 2 5" xfId="652"/>
    <cellStyle name="Normal 2 5 2 3" xfId="93"/>
    <cellStyle name="Normal 2 5 2 3 2" xfId="195"/>
    <cellStyle name="Normal 2 5 2 3 2 2" xfId="391"/>
    <cellStyle name="Normal 2 5 2 3 2 3" xfId="587"/>
    <cellStyle name="Normal 2 5 2 3 2 4" xfId="781"/>
    <cellStyle name="Normal 2 5 2 3 3" xfId="293"/>
    <cellStyle name="Normal 2 5 2 3 4" xfId="489"/>
    <cellStyle name="Normal 2 5 2 3 5" xfId="684"/>
    <cellStyle name="Normal 2 5 2 4" xfId="130"/>
    <cellStyle name="Normal 2 5 2 4 2" xfId="326"/>
    <cellStyle name="Normal 2 5 2 4 3" xfId="522"/>
    <cellStyle name="Normal 2 5 2 4 4" xfId="716"/>
    <cellStyle name="Normal 2 5 2 5" xfId="228"/>
    <cellStyle name="Normal 2 5 2 6" xfId="424"/>
    <cellStyle name="Normal 2 5 2 7" xfId="619"/>
    <cellStyle name="Normal 2 5 3" xfId="45"/>
    <cellStyle name="Normal 2 5 3 2" xfId="147"/>
    <cellStyle name="Normal 2 5 3 2 2" xfId="343"/>
    <cellStyle name="Normal 2 5 3 2 3" xfId="539"/>
    <cellStyle name="Normal 2 5 3 2 4" xfId="733"/>
    <cellStyle name="Normal 2 5 3 3" xfId="245"/>
    <cellStyle name="Normal 2 5 3 4" xfId="441"/>
    <cellStyle name="Normal 2 5 3 5" xfId="636"/>
    <cellStyle name="Normal 2 5 4" xfId="77"/>
    <cellStyle name="Normal 2 5 4 2" xfId="179"/>
    <cellStyle name="Normal 2 5 4 2 2" xfId="375"/>
    <cellStyle name="Normal 2 5 4 2 3" xfId="571"/>
    <cellStyle name="Normal 2 5 4 2 4" xfId="765"/>
    <cellStyle name="Normal 2 5 4 3" xfId="277"/>
    <cellStyle name="Normal 2 5 4 4" xfId="473"/>
    <cellStyle name="Normal 2 5 4 5" xfId="668"/>
    <cellStyle name="Normal 2 5 5" xfId="114"/>
    <cellStyle name="Normal 2 5 5 2" xfId="310"/>
    <cellStyle name="Normal 2 5 5 3" xfId="506"/>
    <cellStyle name="Normal 2 5 5 4" xfId="700"/>
    <cellStyle name="Normal 2 5 6" xfId="212"/>
    <cellStyle name="Normal 2 5 7" xfId="408"/>
    <cellStyle name="Normal 2 5 8" xfId="603"/>
    <cellStyle name="Normal 2 6" xfId="14"/>
    <cellStyle name="Normal 2 6 2" xfId="31"/>
    <cellStyle name="Normal 2 6 2 2" xfId="65"/>
    <cellStyle name="Normal 2 6 2 2 2" xfId="167"/>
    <cellStyle name="Normal 2 6 2 2 2 2" xfId="363"/>
    <cellStyle name="Normal 2 6 2 2 2 3" xfId="559"/>
    <cellStyle name="Normal 2 6 2 2 2 4" xfId="753"/>
    <cellStyle name="Normal 2 6 2 2 3" xfId="265"/>
    <cellStyle name="Normal 2 6 2 2 4" xfId="461"/>
    <cellStyle name="Normal 2 6 2 2 5" xfId="656"/>
    <cellStyle name="Normal 2 6 2 3" xfId="97"/>
    <cellStyle name="Normal 2 6 2 3 2" xfId="199"/>
    <cellStyle name="Normal 2 6 2 3 2 2" xfId="395"/>
    <cellStyle name="Normal 2 6 2 3 2 3" xfId="591"/>
    <cellStyle name="Normal 2 6 2 3 2 4" xfId="785"/>
    <cellStyle name="Normal 2 6 2 3 3" xfId="297"/>
    <cellStyle name="Normal 2 6 2 3 4" xfId="493"/>
    <cellStyle name="Normal 2 6 2 3 5" xfId="688"/>
    <cellStyle name="Normal 2 6 2 4" xfId="134"/>
    <cellStyle name="Normal 2 6 2 4 2" xfId="330"/>
    <cellStyle name="Normal 2 6 2 4 3" xfId="526"/>
    <cellStyle name="Normal 2 6 2 4 4" xfId="720"/>
    <cellStyle name="Normal 2 6 2 5" xfId="232"/>
    <cellStyle name="Normal 2 6 2 6" xfId="428"/>
    <cellStyle name="Normal 2 6 2 7" xfId="623"/>
    <cellStyle name="Normal 2 6 3" xfId="49"/>
    <cellStyle name="Normal 2 6 3 2" xfId="151"/>
    <cellStyle name="Normal 2 6 3 2 2" xfId="347"/>
    <cellStyle name="Normal 2 6 3 2 3" xfId="543"/>
    <cellStyle name="Normal 2 6 3 2 4" xfId="737"/>
    <cellStyle name="Normal 2 6 3 3" xfId="249"/>
    <cellStyle name="Normal 2 6 3 4" xfId="445"/>
    <cellStyle name="Normal 2 6 3 5" xfId="640"/>
    <cellStyle name="Normal 2 6 4" xfId="81"/>
    <cellStyle name="Normal 2 6 4 2" xfId="183"/>
    <cellStyle name="Normal 2 6 4 2 2" xfId="379"/>
    <cellStyle name="Normal 2 6 4 2 3" xfId="575"/>
    <cellStyle name="Normal 2 6 4 2 4" xfId="769"/>
    <cellStyle name="Normal 2 6 4 3" xfId="281"/>
    <cellStyle name="Normal 2 6 4 4" xfId="477"/>
    <cellStyle name="Normal 2 6 4 5" xfId="672"/>
    <cellStyle name="Normal 2 6 5" xfId="118"/>
    <cellStyle name="Normal 2 6 5 2" xfId="314"/>
    <cellStyle name="Normal 2 6 5 3" xfId="510"/>
    <cellStyle name="Normal 2 6 5 4" xfId="704"/>
    <cellStyle name="Normal 2 6 6" xfId="216"/>
    <cellStyle name="Normal 2 6 7" xfId="412"/>
    <cellStyle name="Normal 2 6 8" xfId="607"/>
    <cellStyle name="Normal 2 7" xfId="18"/>
    <cellStyle name="Normal 2 7 2" xfId="35"/>
    <cellStyle name="Normal 2 7 2 2" xfId="69"/>
    <cellStyle name="Normal 2 7 2 2 2" xfId="171"/>
    <cellStyle name="Normal 2 7 2 2 2 2" xfId="367"/>
    <cellStyle name="Normal 2 7 2 2 2 3" xfId="563"/>
    <cellStyle name="Normal 2 7 2 2 2 4" xfId="757"/>
    <cellStyle name="Normal 2 7 2 2 3" xfId="269"/>
    <cellStyle name="Normal 2 7 2 2 4" xfId="465"/>
    <cellStyle name="Normal 2 7 2 2 5" xfId="660"/>
    <cellStyle name="Normal 2 7 2 3" xfId="101"/>
    <cellStyle name="Normal 2 7 2 3 2" xfId="203"/>
    <cellStyle name="Normal 2 7 2 3 2 2" xfId="399"/>
    <cellStyle name="Normal 2 7 2 3 2 3" xfId="595"/>
    <cellStyle name="Normal 2 7 2 3 2 4" xfId="789"/>
    <cellStyle name="Normal 2 7 2 3 3" xfId="301"/>
    <cellStyle name="Normal 2 7 2 3 4" xfId="497"/>
    <cellStyle name="Normal 2 7 2 3 5" xfId="692"/>
    <cellStyle name="Normal 2 7 2 4" xfId="138"/>
    <cellStyle name="Normal 2 7 2 4 2" xfId="334"/>
    <cellStyle name="Normal 2 7 2 4 3" xfId="530"/>
    <cellStyle name="Normal 2 7 2 4 4" xfId="724"/>
    <cellStyle name="Normal 2 7 2 5" xfId="236"/>
    <cellStyle name="Normal 2 7 2 6" xfId="432"/>
    <cellStyle name="Normal 2 7 2 7" xfId="627"/>
    <cellStyle name="Normal 2 7 3" xfId="53"/>
    <cellStyle name="Normal 2 7 3 2" xfId="155"/>
    <cellStyle name="Normal 2 7 3 2 2" xfId="351"/>
    <cellStyle name="Normal 2 7 3 2 3" xfId="547"/>
    <cellStyle name="Normal 2 7 3 2 4" xfId="741"/>
    <cellStyle name="Normal 2 7 3 3" xfId="253"/>
    <cellStyle name="Normal 2 7 3 4" xfId="449"/>
    <cellStyle name="Normal 2 7 3 5" xfId="644"/>
    <cellStyle name="Normal 2 7 4" xfId="85"/>
    <cellStyle name="Normal 2 7 4 2" xfId="187"/>
    <cellStyle name="Normal 2 7 4 2 2" xfId="383"/>
    <cellStyle name="Normal 2 7 4 2 3" xfId="579"/>
    <cellStyle name="Normal 2 7 4 2 4" xfId="773"/>
    <cellStyle name="Normal 2 7 4 3" xfId="285"/>
    <cellStyle name="Normal 2 7 4 4" xfId="481"/>
    <cellStyle name="Normal 2 7 4 5" xfId="676"/>
    <cellStyle name="Normal 2 7 5" xfId="122"/>
    <cellStyle name="Normal 2 7 5 2" xfId="318"/>
    <cellStyle name="Normal 2 7 5 3" xfId="514"/>
    <cellStyle name="Normal 2 7 5 4" xfId="708"/>
    <cellStyle name="Normal 2 7 6" xfId="220"/>
    <cellStyle name="Normal 2 7 7" xfId="416"/>
    <cellStyle name="Normal 2 7 8" xfId="611"/>
    <cellStyle name="Normal 2 8" xfId="23"/>
    <cellStyle name="Normal 2 8 2" xfId="57"/>
    <cellStyle name="Normal 2 8 2 2" xfId="159"/>
    <cellStyle name="Normal 2 8 2 2 2" xfId="355"/>
    <cellStyle name="Normal 2 8 2 2 3" xfId="551"/>
    <cellStyle name="Normal 2 8 2 2 4" xfId="745"/>
    <cellStyle name="Normal 2 8 2 3" xfId="257"/>
    <cellStyle name="Normal 2 8 2 4" xfId="453"/>
    <cellStyle name="Normal 2 8 2 5" xfId="648"/>
    <cellStyle name="Normal 2 8 3" xfId="89"/>
    <cellStyle name="Normal 2 8 3 2" xfId="191"/>
    <cellStyle name="Normal 2 8 3 2 2" xfId="387"/>
    <cellStyle name="Normal 2 8 3 2 3" xfId="583"/>
    <cellStyle name="Normal 2 8 3 2 4" xfId="777"/>
    <cellStyle name="Normal 2 8 3 3" xfId="289"/>
    <cellStyle name="Normal 2 8 3 4" xfId="485"/>
    <cellStyle name="Normal 2 8 3 5" xfId="680"/>
    <cellStyle name="Normal 2 8 4" xfId="126"/>
    <cellStyle name="Normal 2 8 4 2" xfId="322"/>
    <cellStyle name="Normal 2 8 4 3" xfId="518"/>
    <cellStyle name="Normal 2 8 4 4" xfId="712"/>
    <cellStyle name="Normal 2 8 5" xfId="224"/>
    <cellStyle name="Normal 2 8 6" xfId="420"/>
    <cellStyle name="Normal 2 8 7" xfId="615"/>
    <cellStyle name="Normal 2 9" xfId="41"/>
    <cellStyle name="Normal 2 9 2" xfId="143"/>
    <cellStyle name="Normal 2 9 2 2" xfId="339"/>
    <cellStyle name="Normal 2 9 2 3" xfId="535"/>
    <cellStyle name="Normal 2 9 2 4" xfId="729"/>
    <cellStyle name="Normal 2 9 3" xfId="241"/>
    <cellStyle name="Normal 2 9 4" xfId="437"/>
    <cellStyle name="Normal 2 9 5" xfId="632"/>
    <cellStyle name="Normal 3" xfId="4"/>
    <cellStyle name="Normal 4" xfId="40"/>
    <cellStyle name="Normal 4 2" xfId="142"/>
    <cellStyle name="Normal 4 2 2" xfId="338"/>
    <cellStyle name="Normal 4 2 3" xfId="534"/>
    <cellStyle name="Normal 4 2 4" xfId="728"/>
    <cellStyle name="Normal 4 3" xfId="240"/>
    <cellStyle name="Normal 4 4" xfId="436"/>
    <cellStyle name="Normal 4 5" xfId="631"/>
    <cellStyle name="Normal 5" xfId="105"/>
    <cellStyle name="Normal 5 2" xfId="207"/>
    <cellStyle name="Normal 5 2 2" xfId="403"/>
    <cellStyle name="Normal 5 3" xfId="501"/>
    <cellStyle name="Normal 6" xfId="107"/>
    <cellStyle name="Normal 7" xfId="79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54</xdr:col>
      <xdr:colOff>0</xdr:colOff>
      <xdr:row>34</xdr:row>
      <xdr:rowOff>9525</xdr:rowOff>
    </xdr:from>
    <xdr:to>
      <xdr:col>54</xdr:col>
      <xdr:colOff>0</xdr:colOff>
      <xdr:row>41</xdr:row>
      <xdr:rowOff>133350</xdr:rowOff>
    </xdr:to>
    <xdr:pic>
      <xdr:nvPicPr>
        <xdr:cNvPr id="2233" name="Picture 1">
          <a:extLst>
            <a:ext uri="{FF2B5EF4-FFF2-40B4-BE49-F238E27FC236}">
              <a16:creationId xmlns:a16="http://schemas.microsoft.com/office/drawing/2014/main" xmlns="" id="{00000000-0008-0000-0700-0000B908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14516100" y="5753100"/>
          <a:ext cx="0" cy="12573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T63"/>
  <sheetViews>
    <sheetView tabSelected="1" topLeftCell="A41" zoomScale="80" zoomScaleNormal="80" zoomScalePageLayoutView="125" workbookViewId="0">
      <selection activeCell="B52" sqref="B52"/>
    </sheetView>
  </sheetViews>
  <sheetFormatPr defaultColWidth="8.81640625" defaultRowHeight="12.5"/>
  <cols>
    <col min="1" max="1" width="5.54296875" customWidth="1"/>
    <col min="2" max="2" width="46.54296875" customWidth="1"/>
    <col min="3" max="3" width="14.81640625" customWidth="1"/>
    <col min="4" max="4" width="11.81640625" style="3" customWidth="1"/>
    <col min="5" max="5" width="13.6328125" customWidth="1"/>
    <col min="6" max="6" width="12.81640625" customWidth="1"/>
    <col min="7" max="7" width="12.453125" customWidth="1"/>
    <col min="8" max="8" width="14.81640625" customWidth="1"/>
    <col min="9" max="9" width="11.453125" customWidth="1"/>
    <col min="10" max="10" width="15.1796875" customWidth="1"/>
    <col min="11" max="11" width="15.453125" style="116" customWidth="1"/>
    <col min="12" max="12" width="15.453125" style="3" customWidth="1"/>
    <col min="13" max="13" width="9.1796875" customWidth="1"/>
    <col min="14" max="14" width="12.453125" customWidth="1"/>
    <col min="15" max="15" width="11.1796875" customWidth="1"/>
    <col min="16" max="16" width="12.453125" customWidth="1"/>
    <col min="17" max="17" width="15.453125" customWidth="1"/>
  </cols>
  <sheetData>
    <row r="1" spans="1:20" ht="36">
      <c r="B1" s="301" t="s">
        <v>219</v>
      </c>
      <c r="C1" s="240"/>
      <c r="D1" s="241"/>
      <c r="E1" s="240"/>
      <c r="F1" s="240"/>
      <c r="G1" s="242" t="s">
        <v>137</v>
      </c>
      <c r="H1" s="243"/>
      <c r="I1" s="240"/>
      <c r="J1" s="240"/>
      <c r="K1" s="244"/>
      <c r="L1" s="245" t="s">
        <v>82</v>
      </c>
      <c r="M1" s="240"/>
      <c r="N1" s="493" t="s">
        <v>309</v>
      </c>
      <c r="O1" s="240"/>
      <c r="P1" s="240"/>
      <c r="Q1" s="246"/>
    </row>
    <row r="2" spans="1:20" ht="13">
      <c r="B2" s="6"/>
      <c r="C2" s="245" t="s">
        <v>20</v>
      </c>
      <c r="D2" s="245" t="s">
        <v>5</v>
      </c>
      <c r="E2" s="240"/>
      <c r="F2" s="245" t="s">
        <v>44</v>
      </c>
      <c r="G2" s="245" t="s">
        <v>37</v>
      </c>
      <c r="H2" s="243"/>
      <c r="I2" s="240"/>
      <c r="J2" s="491" t="s">
        <v>307</v>
      </c>
      <c r="K2" s="247" t="s">
        <v>81</v>
      </c>
      <c r="L2" s="245" t="s">
        <v>73</v>
      </c>
      <c r="M2" s="245" t="s">
        <v>39</v>
      </c>
      <c r="N2" s="245" t="s">
        <v>42</v>
      </c>
      <c r="O2" s="242" t="s">
        <v>60</v>
      </c>
      <c r="P2" s="242" t="s">
        <v>79</v>
      </c>
      <c r="Q2" s="248"/>
    </row>
    <row r="3" spans="1:20" ht="13">
      <c r="B3" s="6"/>
      <c r="C3" s="245" t="s">
        <v>6</v>
      </c>
      <c r="D3" s="245" t="s">
        <v>43</v>
      </c>
      <c r="E3" s="245" t="s">
        <v>62</v>
      </c>
      <c r="F3" s="245" t="s">
        <v>3</v>
      </c>
      <c r="G3" s="249" t="s">
        <v>38</v>
      </c>
      <c r="H3" s="245" t="s">
        <v>4</v>
      </c>
      <c r="I3" s="245" t="s">
        <v>33</v>
      </c>
      <c r="J3" s="250" t="s">
        <v>34</v>
      </c>
      <c r="K3" s="247" t="s">
        <v>72</v>
      </c>
      <c r="L3" s="245" t="s">
        <v>2</v>
      </c>
      <c r="M3" s="245" t="s">
        <v>40</v>
      </c>
      <c r="N3" s="245" t="s">
        <v>3</v>
      </c>
      <c r="O3" s="245" t="s">
        <v>59</v>
      </c>
      <c r="P3" s="245" t="s">
        <v>80</v>
      </c>
      <c r="Q3" s="251" t="s">
        <v>162</v>
      </c>
      <c r="T3" s="5"/>
    </row>
    <row r="4" spans="1:20" ht="14">
      <c r="A4">
        <v>11</v>
      </c>
      <c r="B4" t="s">
        <v>168</v>
      </c>
      <c r="C4" s="252">
        <f>Paper!C58</f>
        <v>29</v>
      </c>
      <c r="D4" s="252">
        <f>Static!C5</f>
        <v>50</v>
      </c>
      <c r="E4" s="272">
        <f>MSRP!M7</f>
        <v>30.142690528710151</v>
      </c>
      <c r="F4" s="252">
        <f>'Subjective Handling '!S4</f>
        <v>0</v>
      </c>
      <c r="G4" s="266">
        <f>'Fuel Economy-Endurance  '!F10</f>
        <v>0</v>
      </c>
      <c r="H4" s="252">
        <f>Oral!BD4</f>
        <v>39.371794871794869</v>
      </c>
      <c r="I4" s="252">
        <f>Noise!J5</f>
        <v>0</v>
      </c>
      <c r="J4" s="272">
        <f>Acceleration!F5</f>
        <v>0</v>
      </c>
      <c r="K4" s="252">
        <f>'Lab Emissions'!Q4</f>
        <v>0</v>
      </c>
      <c r="L4" s="252">
        <f>'In Service Emissions'!K6</f>
        <v>0</v>
      </c>
      <c r="M4" s="252">
        <f>'Cold Start'!D4</f>
        <v>0</v>
      </c>
      <c r="N4" s="273">
        <f>'Objective Handling'!J6</f>
        <v>0</v>
      </c>
      <c r="O4" s="252">
        <f>'Penalties and Bonuses'!L4</f>
        <v>0</v>
      </c>
      <c r="P4" s="253">
        <f>0</f>
        <v>0</v>
      </c>
      <c r="Q4" s="254">
        <f>SUM(C4:P4)</f>
        <v>148.51448540050501</v>
      </c>
      <c r="T4" s="45"/>
    </row>
    <row r="5" spans="1:20" ht="14">
      <c r="A5">
        <v>12</v>
      </c>
      <c r="B5" t="s">
        <v>171</v>
      </c>
      <c r="C5" s="252">
        <f>Paper!D58</f>
        <v>66.900000000000006</v>
      </c>
      <c r="D5" s="252">
        <f>Static!C6</f>
        <v>50</v>
      </c>
      <c r="E5" s="272">
        <f>MSRP!M8</f>
        <v>25.615613918800946</v>
      </c>
      <c r="F5" s="252">
        <f>'Subjective Handling '!S5</f>
        <v>0</v>
      </c>
      <c r="G5" s="266">
        <f>'Fuel Economy-Endurance  '!F11</f>
        <v>5</v>
      </c>
      <c r="H5" s="252">
        <f>Oral!BD5</f>
        <v>61.560975609756099</v>
      </c>
      <c r="I5" s="252">
        <f>Noise!J6</f>
        <v>0</v>
      </c>
      <c r="J5" s="272">
        <f>Acceleration!F6</f>
        <v>0</v>
      </c>
      <c r="K5" s="252">
        <f>'Lab Emissions'!Q5</f>
        <v>0</v>
      </c>
      <c r="L5" s="252">
        <f>'In Service Emissions'!K7</f>
        <v>0</v>
      </c>
      <c r="M5" s="252">
        <f>'Cold Start'!D5</f>
        <v>0</v>
      </c>
      <c r="N5" s="273">
        <f>'Objective Handling'!J7</f>
        <v>0</v>
      </c>
      <c r="O5" s="252">
        <f>'Penalties and Bonuses'!L5</f>
        <v>0</v>
      </c>
      <c r="P5" s="253">
        <f>0</f>
        <v>0</v>
      </c>
      <c r="Q5" s="254">
        <f t="shared" ref="Q5:Q15" si="0">SUM(C5:P5)</f>
        <v>209.07658952855707</v>
      </c>
      <c r="T5" s="45"/>
    </row>
    <row r="6" spans="1:20" ht="14">
      <c r="A6">
        <v>13</v>
      </c>
      <c r="B6" t="s">
        <v>173</v>
      </c>
      <c r="C6" s="252">
        <f>Paper!E58</f>
        <v>47.727272727272727</v>
      </c>
      <c r="D6" s="252">
        <f>Static!C7</f>
        <v>50</v>
      </c>
      <c r="E6" s="272">
        <f>MSRP!M9</f>
        <v>36.775271321479579</v>
      </c>
      <c r="F6" s="252">
        <f>'Subjective Handling '!S6</f>
        <v>12.125</v>
      </c>
      <c r="G6" s="266">
        <f>'Fuel Economy-Endurance  '!F12</f>
        <v>0</v>
      </c>
      <c r="H6" s="252">
        <f>Oral!BD6</f>
        <v>37.841463414634148</v>
      </c>
      <c r="I6" s="252">
        <f>Noise!J7</f>
        <v>75.2</v>
      </c>
      <c r="J6" s="272">
        <f>Acceleration!F7</f>
        <v>0</v>
      </c>
      <c r="K6" s="252">
        <f>'Lab Emissions'!Q6</f>
        <v>46.75</v>
      </c>
      <c r="L6" s="252">
        <f>'In Service Emissions'!K8</f>
        <v>0</v>
      </c>
      <c r="M6" s="252">
        <f>'Cold Start'!D6</f>
        <v>50</v>
      </c>
      <c r="N6" s="273">
        <f>'Objective Handling'!J8</f>
        <v>0</v>
      </c>
      <c r="O6" s="252">
        <f>'Penalties and Bonuses'!L6</f>
        <v>0</v>
      </c>
      <c r="P6" s="253">
        <f>0</f>
        <v>0</v>
      </c>
      <c r="Q6" s="254">
        <f t="shared" si="0"/>
        <v>356.41900746338644</v>
      </c>
      <c r="T6" s="45"/>
    </row>
    <row r="7" spans="1:20" s="102" customFormat="1" ht="14">
      <c r="A7">
        <v>14</v>
      </c>
      <c r="B7" t="s">
        <v>198</v>
      </c>
      <c r="C7" s="252">
        <f>Paper!F58</f>
        <v>71.8</v>
      </c>
      <c r="D7" s="252">
        <f>Static!C8</f>
        <v>50</v>
      </c>
      <c r="E7" s="272">
        <f>MSRP!M10</f>
        <v>36.542621226883789</v>
      </c>
      <c r="F7" s="252">
        <f>'Subjective Handling '!S7</f>
        <v>32.777777777777779</v>
      </c>
      <c r="G7" s="266">
        <f>'Fuel Economy-Endurance  '!F13</f>
        <v>177.90335194915355</v>
      </c>
      <c r="H7" s="252">
        <f>Oral!BD7</f>
        <v>72.174999999999997</v>
      </c>
      <c r="I7" s="252">
        <f>Noise!J8</f>
        <v>300</v>
      </c>
      <c r="J7" s="272">
        <f>Acceleration!F8</f>
        <v>0</v>
      </c>
      <c r="K7" s="252">
        <f>'Lab Emissions'!Q7</f>
        <v>283.87</v>
      </c>
      <c r="L7" s="252">
        <f>'In Service Emissions'!K9</f>
        <v>44.211713728053823</v>
      </c>
      <c r="M7" s="252">
        <f>'Cold Start'!D7</f>
        <v>0</v>
      </c>
      <c r="N7" s="273">
        <f>'Objective Handling'!J9</f>
        <v>0</v>
      </c>
      <c r="O7" s="252">
        <f>'Penalties and Bonuses'!L7</f>
        <v>100</v>
      </c>
      <c r="P7" s="253">
        <f>0</f>
        <v>0</v>
      </c>
      <c r="Q7" s="254">
        <f t="shared" si="0"/>
        <v>1169.280464681869</v>
      </c>
      <c r="T7" s="133"/>
    </row>
    <row r="8" spans="1:20" s="102" customFormat="1" ht="14">
      <c r="A8">
        <v>15</v>
      </c>
      <c r="B8" t="s">
        <v>164</v>
      </c>
      <c r="C8" s="252">
        <f>Paper!G58</f>
        <v>49.166666666666664</v>
      </c>
      <c r="D8" s="252">
        <f>Static!C9</f>
        <v>50</v>
      </c>
      <c r="E8" s="272">
        <f>MSRP!M11</f>
        <v>34.649255488306217</v>
      </c>
      <c r="F8" s="252">
        <f>'Subjective Handling '!S8</f>
        <v>32.545454545454547</v>
      </c>
      <c r="G8" s="266">
        <f>'Fuel Economy-Endurance  '!F14</f>
        <v>151.56987482043917</v>
      </c>
      <c r="H8" s="252">
        <f>Oral!BD8</f>
        <v>57.69736842105263</v>
      </c>
      <c r="I8" s="252">
        <f>Noise!J9</f>
        <v>119.23669724770646</v>
      </c>
      <c r="J8" s="272">
        <f>Acceleration!F9</f>
        <v>0</v>
      </c>
      <c r="K8" s="252">
        <f>'Lab Emissions'!Q8</f>
        <v>308.09999999999997</v>
      </c>
      <c r="L8" s="252">
        <f>'In Service Emissions'!K10</f>
        <v>70.554585151624821</v>
      </c>
      <c r="M8" s="252">
        <f>'Cold Start'!D8</f>
        <v>0</v>
      </c>
      <c r="N8" s="273">
        <f>'Objective Handling'!J10</f>
        <v>0</v>
      </c>
      <c r="O8" s="252">
        <f>'Penalties and Bonuses'!L8</f>
        <v>100</v>
      </c>
      <c r="P8" s="253">
        <f>0</f>
        <v>0</v>
      </c>
      <c r="Q8" s="254">
        <f t="shared" si="0"/>
        <v>973.51990234125037</v>
      </c>
      <c r="T8" s="133"/>
    </row>
    <row r="9" spans="1:20" s="25" customFormat="1" ht="14">
      <c r="A9">
        <v>16</v>
      </c>
      <c r="B9" t="s">
        <v>208</v>
      </c>
      <c r="C9" s="252">
        <f>Paper!H58</f>
        <v>21.75</v>
      </c>
      <c r="D9" s="252">
        <f>Static!C10</f>
        <v>50</v>
      </c>
      <c r="E9" s="272">
        <f>MSRP!M12</f>
        <v>18</v>
      </c>
      <c r="F9" s="252">
        <f>'Subjective Handling '!S9</f>
        <v>0</v>
      </c>
      <c r="G9" s="266">
        <f>'Fuel Economy-Endurance  '!F15</f>
        <v>0</v>
      </c>
      <c r="H9" s="252">
        <f>Oral!BD9</f>
        <v>42.769230769230766</v>
      </c>
      <c r="I9" s="252">
        <f>Noise!J10</f>
        <v>0</v>
      </c>
      <c r="J9" s="272">
        <f>Acceleration!F10</f>
        <v>0</v>
      </c>
      <c r="K9" s="252">
        <f>'Lab Emissions'!Q9</f>
        <v>0</v>
      </c>
      <c r="L9" s="252">
        <f>'In Service Emissions'!K11</f>
        <v>0</v>
      </c>
      <c r="M9" s="252">
        <f>'Cold Start'!D9</f>
        <v>0</v>
      </c>
      <c r="N9" s="273">
        <f>'Objective Handling'!J11</f>
        <v>0</v>
      </c>
      <c r="O9" s="252">
        <f>'Penalties and Bonuses'!L9</f>
        <v>-40</v>
      </c>
      <c r="P9" s="253">
        <f>0</f>
        <v>0</v>
      </c>
      <c r="Q9" s="254">
        <f t="shared" si="0"/>
        <v>92.519230769230774</v>
      </c>
      <c r="T9" s="151"/>
    </row>
    <row r="10" spans="1:20" ht="14">
      <c r="A10">
        <v>17</v>
      </c>
      <c r="B10" t="s">
        <v>167</v>
      </c>
      <c r="C10" s="252">
        <f>Paper!I58</f>
        <v>79.181818181818187</v>
      </c>
      <c r="D10" s="252">
        <f>Static!C11</f>
        <v>50</v>
      </c>
      <c r="E10" s="272">
        <f>MSRP!M13</f>
        <v>33.771506807636719</v>
      </c>
      <c r="F10" s="252">
        <f>'Subjective Handling '!S10</f>
        <v>45.071428571428569</v>
      </c>
      <c r="G10" s="266">
        <f>'Fuel Economy-Endurance  '!F16</f>
        <v>200</v>
      </c>
      <c r="H10" s="252">
        <f>Oral!BD10</f>
        <v>72.071428571428569</v>
      </c>
      <c r="I10" s="252">
        <f>Noise!J11</f>
        <v>226.4394495412844</v>
      </c>
      <c r="J10" s="272">
        <f>Acceleration!F11</f>
        <v>0</v>
      </c>
      <c r="K10" s="252">
        <f>'Lab Emissions'!Q10</f>
        <v>70</v>
      </c>
      <c r="L10" s="252">
        <f>'In Service Emissions'!K12</f>
        <v>86.88660377832241</v>
      </c>
      <c r="M10" s="252">
        <f>'Cold Start'!D10</f>
        <v>50</v>
      </c>
      <c r="N10" s="273">
        <f>'Objective Handling'!J12</f>
        <v>0</v>
      </c>
      <c r="O10" s="252">
        <f>'Penalties and Bonuses'!L10</f>
        <v>0</v>
      </c>
      <c r="P10" s="253">
        <f>0</f>
        <v>0</v>
      </c>
      <c r="Q10" s="254">
        <f t="shared" si="0"/>
        <v>913.42223545191882</v>
      </c>
      <c r="T10" s="45"/>
    </row>
    <row r="11" spans="1:20" ht="14">
      <c r="A11">
        <v>18</v>
      </c>
      <c r="B11" t="s">
        <v>209</v>
      </c>
      <c r="C11" s="252">
        <f>Paper!J58</f>
        <v>55.333333333333336</v>
      </c>
      <c r="D11" s="252">
        <f>Static!C12</f>
        <v>50</v>
      </c>
      <c r="E11" s="272">
        <f>MSRP!M14</f>
        <v>40.533801543233352</v>
      </c>
      <c r="F11" s="252">
        <f>'Subjective Handling '!S11</f>
        <v>0</v>
      </c>
      <c r="G11" s="266">
        <f>'Fuel Economy-Endurance  '!F17</f>
        <v>0</v>
      </c>
      <c r="H11" s="252">
        <f>Oral!BD11</f>
        <v>60.4375</v>
      </c>
      <c r="I11" s="252">
        <f>Noise!J12</f>
        <v>0</v>
      </c>
      <c r="J11" s="272">
        <f>Acceleration!F12</f>
        <v>0</v>
      </c>
      <c r="K11" s="252">
        <f>'Lab Emissions'!Q11</f>
        <v>0</v>
      </c>
      <c r="L11" s="252">
        <f>'In Service Emissions'!K13</f>
        <v>0</v>
      </c>
      <c r="M11" s="252">
        <f>'Cold Start'!D11</f>
        <v>0</v>
      </c>
      <c r="N11" s="273">
        <f>'Objective Handling'!J13</f>
        <v>0</v>
      </c>
      <c r="O11" s="252">
        <f>'Penalties and Bonuses'!L11</f>
        <v>0</v>
      </c>
      <c r="P11" s="253">
        <f>0</f>
        <v>0</v>
      </c>
      <c r="Q11" s="254">
        <f t="shared" si="0"/>
        <v>206.30463487656669</v>
      </c>
      <c r="T11" s="45"/>
    </row>
    <row r="12" spans="1:20" s="25" customFormat="1" ht="14">
      <c r="A12">
        <v>19</v>
      </c>
      <c r="B12" t="s">
        <v>170</v>
      </c>
      <c r="C12" s="252">
        <f>Paper!K58</f>
        <v>42.285714285714285</v>
      </c>
      <c r="D12" s="252">
        <f>Static!C13</f>
        <v>50</v>
      </c>
      <c r="E12" s="272">
        <f>MSRP!M15</f>
        <v>35.589204369154167</v>
      </c>
      <c r="F12" s="252">
        <f>'Subjective Handling '!S12</f>
        <v>34.136363636363633</v>
      </c>
      <c r="G12" s="266">
        <f>'Fuel Economy-Endurance  '!F18</f>
        <v>100</v>
      </c>
      <c r="H12" s="252">
        <f>Oral!BD12</f>
        <v>58.573735294117647</v>
      </c>
      <c r="I12" s="252">
        <f>Noise!J13</f>
        <v>225.33394495412838</v>
      </c>
      <c r="J12" s="272">
        <f>Acceleration!F13</f>
        <v>0</v>
      </c>
      <c r="K12" s="252">
        <f>'Lab Emissions'!Q12</f>
        <v>38.54</v>
      </c>
      <c r="L12" s="252">
        <f>'In Service Emissions'!K14</f>
        <v>6.0601577909270361</v>
      </c>
      <c r="M12" s="252">
        <f>'Cold Start'!D12</f>
        <v>0</v>
      </c>
      <c r="N12" s="273">
        <f>'Objective Handling'!J14</f>
        <v>0</v>
      </c>
      <c r="O12" s="252">
        <f>'Penalties and Bonuses'!L12</f>
        <v>-50</v>
      </c>
      <c r="P12" s="253">
        <f>0</f>
        <v>0</v>
      </c>
      <c r="Q12" s="254">
        <f t="shared" si="0"/>
        <v>540.51912033040514</v>
      </c>
      <c r="T12" s="151"/>
    </row>
    <row r="13" spans="1:20" ht="14">
      <c r="A13">
        <v>20</v>
      </c>
      <c r="B13" t="s">
        <v>166</v>
      </c>
      <c r="C13" s="252">
        <f>Paper!L58</f>
        <v>81.400000000000006</v>
      </c>
      <c r="D13" s="252">
        <f>Static!C14</f>
        <v>50</v>
      </c>
      <c r="E13" s="272">
        <f>MSRP!M16</f>
        <v>37.040482408322973</v>
      </c>
      <c r="F13" s="252">
        <f>'Subjective Handling '!S13</f>
        <v>0</v>
      </c>
      <c r="G13" s="266">
        <f>'Fuel Economy-Endurance  '!F19</f>
        <v>0</v>
      </c>
      <c r="H13" s="252">
        <f>Oral!BD13</f>
        <v>67.409090909090907</v>
      </c>
      <c r="I13" s="252">
        <f>Noise!J14</f>
        <v>156.25596330275224</v>
      </c>
      <c r="J13" s="272">
        <f>Acceleration!F14</f>
        <v>0</v>
      </c>
      <c r="K13" s="252">
        <f>'Lab Emissions'!Q13</f>
        <v>291.96999999999997</v>
      </c>
      <c r="L13" s="252">
        <f>'In Service Emissions'!K15</f>
        <v>2.5</v>
      </c>
      <c r="M13" s="252">
        <f>'Cold Start'!D13</f>
        <v>50</v>
      </c>
      <c r="N13" s="273">
        <f>'Objective Handling'!J15</f>
        <v>0</v>
      </c>
      <c r="O13" s="252">
        <f>'Penalties and Bonuses'!L13</f>
        <v>-30</v>
      </c>
      <c r="P13" s="253">
        <f>0</f>
        <v>0</v>
      </c>
      <c r="Q13" s="254">
        <f t="shared" si="0"/>
        <v>706.57553662016608</v>
      </c>
    </row>
    <row r="14" spans="1:20" ht="14">
      <c r="A14">
        <v>21</v>
      </c>
      <c r="B14" t="s">
        <v>165</v>
      </c>
      <c r="C14" s="252">
        <f>Paper!M58</f>
        <v>80.2</v>
      </c>
      <c r="D14" s="252">
        <f>Static!C15</f>
        <v>50</v>
      </c>
      <c r="E14" s="272">
        <f>MSRP!M17</f>
        <v>36</v>
      </c>
      <c r="F14" s="252">
        <f>'Subjective Handling '!S14</f>
        <v>0</v>
      </c>
      <c r="G14" s="266">
        <f>'Fuel Economy-Endurance  '!F20</f>
        <v>144.57269375480939</v>
      </c>
      <c r="H14" s="252">
        <f>Oral!BD14</f>
        <v>63.333333333333336</v>
      </c>
      <c r="I14" s="252">
        <f>Noise!J15</f>
        <v>0</v>
      </c>
      <c r="J14" s="272">
        <f>Acceleration!F15</f>
        <v>0</v>
      </c>
      <c r="K14" s="252">
        <f>'Lab Emissions'!Q14</f>
        <v>278.56</v>
      </c>
      <c r="L14" s="252">
        <f>'In Service Emissions'!K16</f>
        <v>2.5</v>
      </c>
      <c r="M14" s="252">
        <f>'Cold Start'!D14</f>
        <v>0</v>
      </c>
      <c r="N14" s="273">
        <f>'Objective Handling'!J16</f>
        <v>0</v>
      </c>
      <c r="O14" s="252">
        <f>'Penalties and Bonuses'!L14</f>
        <v>0</v>
      </c>
      <c r="P14" s="253">
        <f>0</f>
        <v>0</v>
      </c>
      <c r="Q14" s="254">
        <f t="shared" si="0"/>
        <v>655.16602708814276</v>
      </c>
    </row>
    <row r="15" spans="1:20" ht="14">
      <c r="A15">
        <v>22</v>
      </c>
      <c r="B15" t="s">
        <v>172</v>
      </c>
      <c r="C15" s="252">
        <f>Paper!N58</f>
        <v>49.25</v>
      </c>
      <c r="D15" s="252">
        <f>Static!C16</f>
        <v>50</v>
      </c>
      <c r="E15" s="272">
        <f>MSRP!M18</f>
        <v>20.418143556197862</v>
      </c>
      <c r="F15" s="252">
        <f>'Subjective Handling '!S15</f>
        <v>0</v>
      </c>
      <c r="G15" s="266">
        <f>'Fuel Economy-Endurance  '!F21</f>
        <v>0</v>
      </c>
      <c r="H15" s="252">
        <f>Oral!BD15</f>
        <v>47.48</v>
      </c>
      <c r="I15" s="252">
        <f>Noise!J16</f>
        <v>0</v>
      </c>
      <c r="J15" s="272">
        <f>Acceleration!F16</f>
        <v>0</v>
      </c>
      <c r="K15" s="252">
        <f>'Lab Emissions'!Q15</f>
        <v>0</v>
      </c>
      <c r="L15" s="252">
        <f>'In Service Emissions'!K17</f>
        <v>0</v>
      </c>
      <c r="M15" s="252">
        <f>'Cold Start'!D15</f>
        <v>0</v>
      </c>
      <c r="N15" s="273">
        <f>'Objective Handling'!J17</f>
        <v>0</v>
      </c>
      <c r="O15" s="252">
        <f>'Penalties and Bonuses'!L15</f>
        <v>-300</v>
      </c>
      <c r="P15" s="253">
        <f>0</f>
        <v>0</v>
      </c>
      <c r="Q15" s="254">
        <f t="shared" si="0"/>
        <v>-132.85185644380215</v>
      </c>
    </row>
    <row r="16" spans="1:20" ht="14">
      <c r="A16">
        <v>23</v>
      </c>
      <c r="B16" t="s">
        <v>210</v>
      </c>
      <c r="C16" s="252">
        <f>Paper!O58</f>
        <v>44.285714285714285</v>
      </c>
      <c r="D16" s="252">
        <f>Static!C17</f>
        <v>50</v>
      </c>
      <c r="E16" s="272">
        <f>MSRP!M19</f>
        <v>35.266948461897876</v>
      </c>
      <c r="F16" s="252">
        <f>'Subjective Handling '!S16</f>
        <v>39.666666666666664</v>
      </c>
      <c r="G16" s="266">
        <f>'Fuel Economy-Endurance  '!F22</f>
        <v>164.47517310826663</v>
      </c>
      <c r="H16" s="252">
        <f>Oral!BD16</f>
        <v>51.25</v>
      </c>
      <c r="I16" s="252">
        <f>Noise!J17</f>
        <v>238.8247706422018</v>
      </c>
      <c r="J16" s="272">
        <f>Acceleration!F17</f>
        <v>0</v>
      </c>
      <c r="K16" s="252">
        <f>'Lab Emissions'!Q16</f>
        <v>219.68</v>
      </c>
      <c r="L16" s="252">
        <f>'In Service Emissions'!K18</f>
        <v>52.5</v>
      </c>
      <c r="M16" s="252">
        <f>'Cold Start'!D16</f>
        <v>0</v>
      </c>
      <c r="N16" s="273">
        <f>'Objective Handling'!J18</f>
        <v>0</v>
      </c>
      <c r="O16" s="252">
        <f>'Penalties and Bonuses'!L16</f>
        <v>100</v>
      </c>
      <c r="P16" s="253">
        <f>0</f>
        <v>0</v>
      </c>
      <c r="Q16" s="254">
        <f>SUM(C16:P16)</f>
        <v>995.94927316474718</v>
      </c>
    </row>
    <row r="17" spans="1:17" ht="14">
      <c r="A17">
        <v>26</v>
      </c>
      <c r="B17" t="s">
        <v>169</v>
      </c>
      <c r="C17" s="252">
        <f>Paper!P58</f>
        <v>60.25</v>
      </c>
      <c r="D17" s="252">
        <f>Static!C18</f>
        <v>50</v>
      </c>
      <c r="E17" s="272">
        <f>MSRP!M20</f>
        <v>35.010098266126249</v>
      </c>
      <c r="F17" s="252">
        <f>'Subjective Handling '!S17</f>
        <v>0</v>
      </c>
      <c r="G17" s="266">
        <f>'Fuel Economy-Endurance  '!F23</f>
        <v>0</v>
      </c>
      <c r="H17" s="252">
        <f>Oral!BD17</f>
        <v>41.410714285714285</v>
      </c>
      <c r="I17" s="252">
        <f>Noise!J18</f>
        <v>0</v>
      </c>
      <c r="J17" s="272">
        <f>Acceleration!F18</f>
        <v>0</v>
      </c>
      <c r="K17" s="252">
        <f>'Lab Emissions'!Q17</f>
        <v>0</v>
      </c>
      <c r="L17" s="252">
        <f>'In Service Emissions'!K19</f>
        <v>0</v>
      </c>
      <c r="M17" s="252">
        <f>'Cold Start'!D17</f>
        <v>0</v>
      </c>
      <c r="N17" s="273">
        <f>'Objective Handling'!J19</f>
        <v>0</v>
      </c>
      <c r="O17" s="252">
        <f>'Penalties and Bonuses'!L17</f>
        <v>-100</v>
      </c>
      <c r="P17" s="253">
        <f>0</f>
        <v>0</v>
      </c>
      <c r="Q17" s="254">
        <f>SUM(C17:P17)</f>
        <v>86.670812551840527</v>
      </c>
    </row>
    <row r="18" spans="1:17" ht="14">
      <c r="C18" s="205" t="s">
        <v>41</v>
      </c>
      <c r="D18" s="205" t="s">
        <v>41</v>
      </c>
      <c r="E18" s="205" t="s">
        <v>41</v>
      </c>
      <c r="F18" s="205" t="s">
        <v>41</v>
      </c>
      <c r="G18" s="205" t="s">
        <v>41</v>
      </c>
      <c r="H18" s="205" t="s">
        <v>41</v>
      </c>
      <c r="I18" s="205" t="s">
        <v>41</v>
      </c>
      <c r="J18" s="205" t="s">
        <v>41</v>
      </c>
      <c r="K18" s="205" t="s">
        <v>41</v>
      </c>
      <c r="L18" s="205" t="s">
        <v>41</v>
      </c>
      <c r="M18" s="205" t="s">
        <v>41</v>
      </c>
      <c r="N18" s="205" t="s">
        <v>41</v>
      </c>
      <c r="O18" s="206"/>
      <c r="P18" s="205" t="s">
        <v>41</v>
      </c>
      <c r="Q18" s="204"/>
    </row>
    <row r="19" spans="1:17" ht="13">
      <c r="B19" s="209"/>
      <c r="C19" s="211"/>
      <c r="D19" s="210" t="s">
        <v>18</v>
      </c>
      <c r="E19" s="210" t="s">
        <v>21</v>
      </c>
      <c r="F19" s="213" t="s">
        <v>41</v>
      </c>
      <c r="G19" s="210" t="s">
        <v>18</v>
      </c>
      <c r="H19" s="212"/>
      <c r="I19" s="212"/>
      <c r="J19" s="49"/>
      <c r="M19" s="41"/>
      <c r="N19" s="27"/>
      <c r="O19" s="8"/>
      <c r="P19" s="6"/>
    </row>
    <row r="20" spans="1:17" ht="13">
      <c r="B20" s="208"/>
      <c r="C20" s="211"/>
      <c r="D20" s="211" t="s">
        <v>20</v>
      </c>
      <c r="E20" s="207" t="s">
        <v>22</v>
      </c>
      <c r="F20" s="211"/>
      <c r="G20" s="207" t="s">
        <v>148</v>
      </c>
      <c r="H20" s="211" t="s">
        <v>23</v>
      </c>
      <c r="I20" s="211" t="s">
        <v>25</v>
      </c>
      <c r="M20" s="41"/>
      <c r="N20" s="27"/>
      <c r="O20" s="232"/>
      <c r="P20" s="6"/>
    </row>
    <row r="21" spans="1:17" ht="13">
      <c r="B21" s="208"/>
      <c r="C21" s="211"/>
      <c r="D21" s="211" t="s">
        <v>19</v>
      </c>
      <c r="E21" s="207" t="s">
        <v>19</v>
      </c>
      <c r="F21" s="211"/>
      <c r="G21" s="207" t="s">
        <v>19</v>
      </c>
      <c r="H21" s="211" t="s">
        <v>9</v>
      </c>
      <c r="I21" s="211" t="s">
        <v>24</v>
      </c>
      <c r="J21" s="211" t="s">
        <v>101</v>
      </c>
      <c r="M21" s="41"/>
      <c r="N21" s="27"/>
      <c r="O21" s="232"/>
      <c r="P21" s="6"/>
    </row>
    <row r="22" spans="1:17" ht="17.5">
      <c r="A22">
        <v>11</v>
      </c>
      <c r="B22" t="s">
        <v>168</v>
      </c>
      <c r="C22" s="210"/>
      <c r="D22" s="210" t="str">
        <f t="shared" ref="D22:D24" si="1">IF(AND(K4&gt;69,I4&gt;8,J4=0),(C4+H4+D4),"Not Eligible")</f>
        <v>Not Eligible</v>
      </c>
      <c r="E22" s="210">
        <f t="shared" ref="E22:E35" si="2">I4+K4+E4</f>
        <v>30.142690528710151</v>
      </c>
      <c r="F22" s="235"/>
      <c r="G22" s="210">
        <f t="shared" ref="G22:G35" si="3">(F4+G4+J4+M4+N4+E4)</f>
        <v>30.142690528710151</v>
      </c>
      <c r="H22" s="44">
        <f t="shared" ref="H22:H35" si="4">SUM(C4:P4)</f>
        <v>148.51448540050501</v>
      </c>
      <c r="I22" s="207">
        <f>RANK(H22,$H22:$H$35)</f>
        <v>11</v>
      </c>
      <c r="J22" s="233"/>
      <c r="M22" s="41"/>
      <c r="N22" s="27"/>
      <c r="O22" s="17"/>
      <c r="P22" s="6"/>
    </row>
    <row r="23" spans="1:17" ht="17.5">
      <c r="A23">
        <v>12</v>
      </c>
      <c r="B23" t="s">
        <v>171</v>
      </c>
      <c r="C23" s="210"/>
      <c r="D23" s="210" t="str">
        <f t="shared" si="1"/>
        <v>Not Eligible</v>
      </c>
      <c r="E23" s="210">
        <f t="shared" si="2"/>
        <v>25.615613918800946</v>
      </c>
      <c r="F23" s="235"/>
      <c r="G23" s="210">
        <f t="shared" si="3"/>
        <v>30.615613918800946</v>
      </c>
      <c r="H23" s="44">
        <f t="shared" si="4"/>
        <v>209.07658952855707</v>
      </c>
      <c r="I23" s="207">
        <f>RANK(H23,$H22:$H$35)</f>
        <v>9</v>
      </c>
      <c r="J23" s="239"/>
      <c r="M23" s="41"/>
      <c r="N23" s="27"/>
      <c r="O23" s="17"/>
      <c r="P23" s="6"/>
    </row>
    <row r="24" spans="1:17" s="102" customFormat="1" ht="17.5">
      <c r="A24">
        <v>13</v>
      </c>
      <c r="B24" t="s">
        <v>173</v>
      </c>
      <c r="C24" s="210"/>
      <c r="D24" s="210" t="str">
        <f t="shared" si="1"/>
        <v>Not Eligible</v>
      </c>
      <c r="E24" s="210">
        <f t="shared" si="2"/>
        <v>158.72527132147957</v>
      </c>
      <c r="F24" s="235"/>
      <c r="G24" s="210">
        <f t="shared" si="3"/>
        <v>98.900271321479579</v>
      </c>
      <c r="H24" s="44">
        <f t="shared" si="4"/>
        <v>356.41900746338644</v>
      </c>
      <c r="I24" s="207">
        <f>RANK(H24,$H22:$H$35)</f>
        <v>8</v>
      </c>
      <c r="J24" s="239"/>
      <c r="K24" s="138"/>
      <c r="L24" s="129"/>
      <c r="M24" s="139"/>
      <c r="N24" s="136"/>
      <c r="O24" s="140"/>
      <c r="P24" s="132"/>
    </row>
    <row r="25" spans="1:17" ht="17.5">
      <c r="A25">
        <v>14</v>
      </c>
      <c r="B25" t="s">
        <v>198</v>
      </c>
      <c r="C25" s="210"/>
      <c r="D25" s="210">
        <f>IF(AND(K7&gt;69,I7&gt;8,J7=0),(C7+H7+D7),"Not Eligible")</f>
        <v>193.97499999999999</v>
      </c>
      <c r="E25" s="210">
        <f t="shared" si="2"/>
        <v>620.41262122688374</v>
      </c>
      <c r="F25" s="235"/>
      <c r="G25" s="210">
        <f t="shared" si="3"/>
        <v>247.22375095381511</v>
      </c>
      <c r="H25" s="44">
        <f t="shared" si="4"/>
        <v>1169.280464681869</v>
      </c>
      <c r="I25" s="207">
        <f>RANK(H25,$H22:$H$35)</f>
        <v>1</v>
      </c>
      <c r="J25" s="233"/>
      <c r="M25" s="41"/>
      <c r="N25" s="27"/>
      <c r="O25" s="17"/>
      <c r="P25" s="6"/>
    </row>
    <row r="26" spans="1:17" ht="17.5">
      <c r="A26">
        <v>15</v>
      </c>
      <c r="B26" t="s">
        <v>164</v>
      </c>
      <c r="C26" s="210"/>
      <c r="D26" s="210">
        <f t="shared" ref="D26:D35" si="5">IF(AND(K8&gt;69,I8&gt;8,J8=0),(C8+H8+D8),"Not Eligible")</f>
        <v>156.86403508771929</v>
      </c>
      <c r="E26" s="210">
        <f t="shared" si="2"/>
        <v>461.98595273601262</v>
      </c>
      <c r="F26" s="235"/>
      <c r="G26" s="210">
        <f t="shared" si="3"/>
        <v>218.76458485419994</v>
      </c>
      <c r="H26" s="44">
        <f t="shared" si="4"/>
        <v>973.51990234125037</v>
      </c>
      <c r="I26" s="207">
        <f>RANK(H26,$H22:$H$35)</f>
        <v>3</v>
      </c>
      <c r="J26" s="233"/>
      <c r="M26" s="41"/>
      <c r="N26" s="27"/>
      <c r="O26" s="17"/>
      <c r="P26" s="6"/>
    </row>
    <row r="27" spans="1:17" ht="17.5">
      <c r="A27">
        <v>16</v>
      </c>
      <c r="B27" t="s">
        <v>208</v>
      </c>
      <c r="C27" s="210"/>
      <c r="D27" s="210" t="str">
        <f t="shared" si="5"/>
        <v>Not Eligible</v>
      </c>
      <c r="E27" s="210">
        <f t="shared" si="2"/>
        <v>18</v>
      </c>
      <c r="F27" s="235"/>
      <c r="G27" s="210">
        <f t="shared" si="3"/>
        <v>18</v>
      </c>
      <c r="H27" s="44">
        <f t="shared" si="4"/>
        <v>92.519230769230774</v>
      </c>
      <c r="I27" s="207">
        <f>RANK(H27,$H22:$H$35)</f>
        <v>12</v>
      </c>
      <c r="J27" s="233"/>
      <c r="M27" s="41"/>
      <c r="N27" s="27"/>
      <c r="O27" s="17"/>
      <c r="P27" s="6"/>
    </row>
    <row r="28" spans="1:17" ht="17.5">
      <c r="A28">
        <v>17</v>
      </c>
      <c r="B28" t="s">
        <v>167</v>
      </c>
      <c r="C28" s="210"/>
      <c r="D28" s="210">
        <f t="shared" si="5"/>
        <v>201.25324675324674</v>
      </c>
      <c r="E28" s="210">
        <f t="shared" si="2"/>
        <v>330.21095634892112</v>
      </c>
      <c r="F28" s="235"/>
      <c r="G28" s="210">
        <f t="shared" si="3"/>
        <v>328.8429353790653</v>
      </c>
      <c r="H28" s="44">
        <f t="shared" si="4"/>
        <v>913.42223545191882</v>
      </c>
      <c r="I28" s="207">
        <f>RANK(H28,$H22:$H$35)</f>
        <v>4</v>
      </c>
      <c r="J28" s="233"/>
      <c r="M28" s="41"/>
      <c r="N28" s="27"/>
      <c r="O28" s="17"/>
      <c r="P28" s="6"/>
    </row>
    <row r="29" spans="1:17" ht="17.5">
      <c r="A29">
        <v>18</v>
      </c>
      <c r="B29" t="s">
        <v>209</v>
      </c>
      <c r="C29" s="210"/>
      <c r="D29" s="210" t="str">
        <f t="shared" si="5"/>
        <v>Not Eligible</v>
      </c>
      <c r="E29" s="210">
        <f t="shared" si="2"/>
        <v>40.533801543233352</v>
      </c>
      <c r="F29" s="235"/>
      <c r="G29" s="210">
        <f t="shared" si="3"/>
        <v>40.533801543233352</v>
      </c>
      <c r="H29" s="44">
        <f t="shared" si="4"/>
        <v>206.30463487656669</v>
      </c>
      <c r="I29" s="207">
        <f>RANK(H29,$H22:$H$35)</f>
        <v>10</v>
      </c>
      <c r="J29" s="233"/>
      <c r="M29" s="41"/>
      <c r="N29" s="27"/>
      <c r="O29" s="17"/>
      <c r="P29" s="6"/>
    </row>
    <row r="30" spans="1:17" ht="17.5">
      <c r="A30">
        <v>19</v>
      </c>
      <c r="B30" t="s">
        <v>170</v>
      </c>
      <c r="C30" s="210"/>
      <c r="D30" s="210" t="str">
        <f t="shared" si="5"/>
        <v>Not Eligible</v>
      </c>
      <c r="E30" s="210">
        <f t="shared" si="2"/>
        <v>299.46314932328255</v>
      </c>
      <c r="F30" s="235"/>
      <c r="G30" s="210">
        <f t="shared" si="3"/>
        <v>169.7255680055178</v>
      </c>
      <c r="H30" s="44">
        <f t="shared" si="4"/>
        <v>540.51912033040514</v>
      </c>
      <c r="I30" s="207">
        <f>RANK(H30,$H22:$H$35)</f>
        <v>7</v>
      </c>
      <c r="J30" s="233"/>
      <c r="M30" s="41"/>
      <c r="N30" s="27"/>
      <c r="O30" s="17"/>
      <c r="P30" s="6"/>
    </row>
    <row r="31" spans="1:17" ht="17.5">
      <c r="A31">
        <v>20</v>
      </c>
      <c r="B31" t="s">
        <v>166</v>
      </c>
      <c r="C31" s="210"/>
      <c r="D31" s="210">
        <f t="shared" si="5"/>
        <v>198.80909090909091</v>
      </c>
      <c r="E31" s="210">
        <f t="shared" si="2"/>
        <v>485.26644571107522</v>
      </c>
      <c r="F31" s="235"/>
      <c r="G31" s="210">
        <f t="shared" si="3"/>
        <v>87.040482408322973</v>
      </c>
      <c r="H31" s="44">
        <f t="shared" si="4"/>
        <v>706.57553662016608</v>
      </c>
      <c r="I31" s="207">
        <f>RANK(H31,$H22:$H$35)</f>
        <v>5</v>
      </c>
      <c r="J31" s="233"/>
      <c r="M31" s="41"/>
      <c r="N31" s="27"/>
      <c r="O31" s="17"/>
      <c r="P31" s="6"/>
    </row>
    <row r="32" spans="1:17" ht="17.5">
      <c r="A32">
        <v>21</v>
      </c>
      <c r="B32" t="s">
        <v>165</v>
      </c>
      <c r="C32" s="210"/>
      <c r="D32" s="210" t="str">
        <f t="shared" si="5"/>
        <v>Not Eligible</v>
      </c>
      <c r="E32" s="210">
        <f t="shared" si="2"/>
        <v>314.56</v>
      </c>
      <c r="F32" s="235"/>
      <c r="G32" s="210">
        <f t="shared" si="3"/>
        <v>180.57269375480939</v>
      </c>
      <c r="H32" s="44">
        <f t="shared" si="4"/>
        <v>655.16602708814276</v>
      </c>
      <c r="I32" s="207">
        <f>RANK(H32,$H22:$H$35)</f>
        <v>6</v>
      </c>
      <c r="J32" s="233"/>
    </row>
    <row r="33" spans="1:16" ht="17.5">
      <c r="A33">
        <v>22</v>
      </c>
      <c r="B33" t="s">
        <v>172</v>
      </c>
      <c r="C33" s="210"/>
      <c r="D33" s="210" t="str">
        <f t="shared" si="5"/>
        <v>Not Eligible</v>
      </c>
      <c r="E33" s="210">
        <f t="shared" si="2"/>
        <v>20.418143556197862</v>
      </c>
      <c r="F33" s="235"/>
      <c r="G33" s="210">
        <f t="shared" si="3"/>
        <v>20.418143556197862</v>
      </c>
      <c r="H33" s="44">
        <f t="shared" si="4"/>
        <v>-132.85185644380215</v>
      </c>
      <c r="I33" s="207">
        <f>RANK(H33,$H22:$H$35)</f>
        <v>14</v>
      </c>
      <c r="J33" s="233"/>
    </row>
    <row r="34" spans="1:16" ht="17.5">
      <c r="A34">
        <v>23</v>
      </c>
      <c r="B34" t="s">
        <v>210</v>
      </c>
      <c r="C34" s="210"/>
      <c r="D34" s="210">
        <f t="shared" si="5"/>
        <v>145.53571428571428</v>
      </c>
      <c r="E34" s="210">
        <f t="shared" si="2"/>
        <v>493.7717191040997</v>
      </c>
      <c r="F34" s="235"/>
      <c r="G34" s="210">
        <f t="shared" si="3"/>
        <v>239.40878823683116</v>
      </c>
      <c r="H34" s="44">
        <f t="shared" si="4"/>
        <v>995.94927316474718</v>
      </c>
      <c r="I34" s="207">
        <f>RANK(H34,$H22:$H$35)</f>
        <v>2</v>
      </c>
      <c r="J34" s="233"/>
    </row>
    <row r="35" spans="1:16" ht="17.5">
      <c r="A35">
        <v>26</v>
      </c>
      <c r="B35" t="s">
        <v>169</v>
      </c>
      <c r="C35" s="210"/>
      <c r="D35" s="210" t="str">
        <f t="shared" si="5"/>
        <v>Not Eligible</v>
      </c>
      <c r="E35" s="210">
        <f t="shared" si="2"/>
        <v>35.010098266126249</v>
      </c>
      <c r="F35" s="235"/>
      <c r="G35" s="210">
        <f t="shared" si="3"/>
        <v>35.010098266126249</v>
      </c>
      <c r="H35" s="44">
        <f t="shared" si="4"/>
        <v>86.670812551840527</v>
      </c>
      <c r="I35" s="207">
        <f>RANK(H35,$H22:$H$35)</f>
        <v>13</v>
      </c>
      <c r="J35" s="233"/>
    </row>
    <row r="36" spans="1:16" s="49" customFormat="1" ht="13">
      <c r="B36" s="214"/>
      <c r="C36" s="215"/>
      <c r="D36" s="215"/>
      <c r="E36" s="215"/>
      <c r="F36" s="236"/>
      <c r="G36" s="215"/>
      <c r="H36" s="215"/>
      <c r="I36" s="216"/>
      <c r="J36" s="50"/>
      <c r="K36" s="29"/>
      <c r="L36" s="91"/>
      <c r="M36" s="50"/>
      <c r="N36" s="50"/>
      <c r="O36" s="50"/>
      <c r="P36" s="30"/>
    </row>
    <row r="37" spans="1:16" s="49" customFormat="1" ht="13">
      <c r="B37" s="214"/>
      <c r="C37" s="210">
        <f>MAX(C22:C34)</f>
        <v>0</v>
      </c>
      <c r="D37" s="210">
        <f>MAX(D22:D34)</f>
        <v>201.25324675324674</v>
      </c>
      <c r="E37" s="210">
        <f>MAX(E22:E34)</f>
        <v>620.41262122688374</v>
      </c>
      <c r="F37" s="237"/>
      <c r="G37" s="210">
        <f>MAX(G22:G32)</f>
        <v>328.8429353790653</v>
      </c>
      <c r="H37" s="210"/>
      <c r="I37" s="216"/>
      <c r="J37" s="50"/>
      <c r="K37" s="29"/>
      <c r="L37" s="91"/>
      <c r="M37" s="50"/>
      <c r="N37" s="50"/>
      <c r="O37" s="50"/>
      <c r="P37" s="30"/>
    </row>
    <row r="38" spans="1:16" s="49" customFormat="1" ht="14.5">
      <c r="B38" s="189" t="s">
        <v>41</v>
      </c>
      <c r="D38" s="100"/>
      <c r="G38" s="57"/>
      <c r="H38" s="29"/>
      <c r="I38" s="50"/>
      <c r="J38" s="50"/>
      <c r="K38" s="29"/>
      <c r="L38" s="91"/>
      <c r="M38" s="50"/>
      <c r="N38" s="50"/>
      <c r="O38" s="50"/>
      <c r="P38" s="30"/>
    </row>
    <row r="39" spans="1:16" s="49" customFormat="1" ht="62">
      <c r="B39" s="234" t="s">
        <v>194</v>
      </c>
      <c r="C39" s="632" t="s">
        <v>198</v>
      </c>
      <c r="D39" s="632"/>
      <c r="E39" s="632"/>
      <c r="F39" s="632"/>
      <c r="G39" s="57"/>
      <c r="H39" s="29"/>
      <c r="I39" s="50"/>
      <c r="J39" s="30"/>
      <c r="K39" s="117"/>
      <c r="L39" s="91"/>
      <c r="M39" s="30"/>
      <c r="N39" s="30"/>
      <c r="O39" s="30"/>
      <c r="P39" s="30"/>
    </row>
    <row r="40" spans="1:16" s="49" customFormat="1" ht="20.25" customHeight="1">
      <c r="B40" s="221" t="s">
        <v>192</v>
      </c>
      <c r="C40" s="639" t="s">
        <v>210</v>
      </c>
      <c r="D40" s="640"/>
      <c r="E40" s="640"/>
      <c r="F40" s="641"/>
      <c r="G40" s="57"/>
      <c r="H40" s="23"/>
      <c r="I40" s="50"/>
      <c r="J40" s="30"/>
      <c r="K40" s="117"/>
      <c r="L40" s="91"/>
      <c r="M40" s="30"/>
      <c r="N40" s="30"/>
      <c r="O40" s="30"/>
      <c r="P40" s="30"/>
    </row>
    <row r="41" spans="1:16" s="49" customFormat="1" ht="19.5" customHeight="1">
      <c r="B41" s="221" t="s">
        <v>193</v>
      </c>
      <c r="C41" s="642" t="s">
        <v>164</v>
      </c>
      <c r="D41" s="643"/>
      <c r="E41" s="643"/>
      <c r="F41" s="644"/>
      <c r="G41" s="648"/>
      <c r="H41" s="648"/>
      <c r="I41" s="648"/>
      <c r="J41" s="648"/>
      <c r="K41" s="117"/>
      <c r="L41" s="91"/>
      <c r="M41" s="30"/>
      <c r="N41" s="30"/>
      <c r="O41" s="30"/>
      <c r="P41" s="30"/>
    </row>
    <row r="42" spans="1:16" s="255" customFormat="1" ht="31.5" customHeight="1">
      <c r="B42" s="234"/>
      <c r="C42" s="632"/>
      <c r="D42" s="632"/>
      <c r="E42" s="632"/>
      <c r="F42" s="632"/>
      <c r="G42" s="256"/>
      <c r="H42" s="257"/>
      <c r="I42" s="257"/>
      <c r="J42" s="257"/>
      <c r="K42" s="258"/>
      <c r="L42" s="259"/>
      <c r="M42" s="257"/>
      <c r="N42" s="257"/>
      <c r="O42" s="257"/>
      <c r="P42" s="257"/>
    </row>
    <row r="43" spans="1:16" s="49" customFormat="1" ht="14.5" customHeight="1">
      <c r="B43" s="221" t="s">
        <v>196</v>
      </c>
      <c r="C43" s="636" t="s">
        <v>198</v>
      </c>
      <c r="D43" s="636"/>
      <c r="E43" s="636"/>
      <c r="F43" s="636"/>
      <c r="G43" s="57"/>
      <c r="H43" s="30"/>
      <c r="I43" s="30"/>
      <c r="J43" s="30"/>
      <c r="K43" s="117"/>
      <c r="L43" s="91"/>
      <c r="M43" s="30"/>
      <c r="N43" s="30"/>
      <c r="O43" s="30"/>
      <c r="P43" s="30"/>
    </row>
    <row r="44" spans="1:16" ht="14.5" customHeight="1">
      <c r="B44" s="222" t="s">
        <v>77</v>
      </c>
      <c r="C44" s="632" t="s">
        <v>167</v>
      </c>
      <c r="D44" s="632"/>
      <c r="E44" s="632"/>
      <c r="F44" s="632"/>
      <c r="G44" s="57"/>
      <c r="K44" s="225"/>
    </row>
    <row r="45" spans="1:16" s="49" customFormat="1" ht="14.5" customHeight="1">
      <c r="B45" s="221" t="s">
        <v>189</v>
      </c>
      <c r="C45" s="632" t="s">
        <v>167</v>
      </c>
      <c r="D45" s="632"/>
      <c r="E45" s="632"/>
      <c r="F45" s="632"/>
      <c r="G45" s="57"/>
      <c r="H45" s="30"/>
      <c r="I45" s="30"/>
      <c r="J45" s="228"/>
      <c r="K45" s="117"/>
      <c r="L45" s="91"/>
      <c r="M45" s="30"/>
      <c r="N45" s="30"/>
      <c r="O45" s="30"/>
      <c r="P45" s="30"/>
    </row>
    <row r="46" spans="1:16" s="49" customFormat="1" ht="14.5" customHeight="1">
      <c r="B46" s="221" t="s">
        <v>63</v>
      </c>
      <c r="C46" s="637" t="s">
        <v>167</v>
      </c>
      <c r="D46" s="638"/>
      <c r="E46" s="638"/>
      <c r="F46" s="638"/>
      <c r="G46" s="227"/>
      <c r="H46" s="30"/>
      <c r="I46" s="30"/>
      <c r="J46" s="30"/>
      <c r="K46" s="226"/>
      <c r="L46" s="91"/>
      <c r="M46" s="30"/>
      <c r="N46" s="30"/>
      <c r="O46" s="30"/>
      <c r="P46" s="30"/>
    </row>
    <row r="47" spans="1:16" s="49" customFormat="1" ht="31.5" customHeight="1">
      <c r="B47" s="619" t="s">
        <v>314</v>
      </c>
      <c r="C47" s="645" t="s">
        <v>198</v>
      </c>
      <c r="D47" s="646"/>
      <c r="E47" s="646"/>
      <c r="F47" s="647"/>
      <c r="G47" s="57"/>
      <c r="H47" s="30"/>
      <c r="I47" s="30"/>
      <c r="J47" s="465"/>
      <c r="K47" s="466"/>
      <c r="L47" s="467"/>
      <c r="M47" s="465"/>
      <c r="N47" s="465"/>
      <c r="O47" s="465"/>
      <c r="P47" s="30"/>
    </row>
    <row r="48" spans="1:16" ht="14.5" customHeight="1">
      <c r="B48" s="221" t="s">
        <v>64</v>
      </c>
      <c r="C48" s="638" t="s">
        <v>198</v>
      </c>
      <c r="D48" s="638"/>
      <c r="E48" s="638"/>
      <c r="F48" s="638"/>
      <c r="G48" s="57"/>
      <c r="H48" s="30"/>
      <c r="I48" s="30"/>
      <c r="J48" s="39"/>
      <c r="K48" s="468"/>
      <c r="L48" s="53"/>
      <c r="M48" s="39"/>
      <c r="N48" s="39"/>
      <c r="O48" s="39"/>
      <c r="P48" s="6"/>
    </row>
    <row r="49" spans="2:15" ht="18" customHeight="1">
      <c r="B49" s="223"/>
      <c r="C49" s="651"/>
      <c r="D49" s="651"/>
      <c r="E49" s="651"/>
      <c r="F49" s="651"/>
      <c r="G49" s="57"/>
      <c r="H49" s="6"/>
      <c r="I49" s="6"/>
      <c r="J49" s="1"/>
      <c r="K49" s="118"/>
      <c r="L49" s="46"/>
      <c r="M49" s="1"/>
      <c r="N49" s="1"/>
      <c r="O49" s="1"/>
    </row>
    <row r="50" spans="2:15" ht="15.5">
      <c r="B50" s="223"/>
      <c r="C50" s="651"/>
      <c r="D50" s="651"/>
      <c r="E50" s="651"/>
      <c r="F50" s="651"/>
      <c r="G50" s="57"/>
      <c r="J50" s="1"/>
      <c r="K50" s="118"/>
      <c r="L50" s="46"/>
      <c r="M50" s="1"/>
      <c r="N50" s="1"/>
      <c r="O50" s="1"/>
    </row>
    <row r="51" spans="2:15" ht="15.5">
      <c r="B51" s="221" t="s">
        <v>191</v>
      </c>
      <c r="C51" s="649" t="s">
        <v>200</v>
      </c>
      <c r="D51" s="650"/>
      <c r="E51" s="650"/>
      <c r="F51" s="650"/>
      <c r="G51" s="15"/>
      <c r="J51" s="1"/>
      <c r="K51" s="118"/>
      <c r="L51" s="46"/>
      <c r="M51" s="1"/>
      <c r="N51" s="1"/>
      <c r="O51" s="1"/>
    </row>
    <row r="52" spans="2:15" ht="15.5">
      <c r="B52" s="222" t="s">
        <v>329</v>
      </c>
      <c r="C52" s="651" t="s">
        <v>166</v>
      </c>
      <c r="D52" s="651"/>
      <c r="E52" s="651"/>
      <c r="F52" s="651"/>
      <c r="J52" s="618"/>
      <c r="K52" s="118"/>
      <c r="L52" s="46"/>
      <c r="M52" s="1"/>
      <c r="N52" s="1"/>
      <c r="O52" s="1"/>
    </row>
    <row r="53" spans="2:15" ht="64.25" customHeight="1">
      <c r="B53" s="620" t="s">
        <v>207</v>
      </c>
      <c r="C53" s="615" t="s">
        <v>171</v>
      </c>
      <c r="D53" s="616"/>
      <c r="E53" s="616"/>
      <c r="F53" s="617"/>
      <c r="G53" s="57"/>
      <c r="I53" s="260"/>
      <c r="J53" s="652"/>
      <c r="K53" s="653"/>
      <c r="L53" s="653"/>
      <c r="M53" s="463"/>
      <c r="N53" s="463"/>
      <c r="O53" s="469"/>
    </row>
    <row r="54" spans="2:15" ht="31">
      <c r="B54" s="224" t="s">
        <v>163</v>
      </c>
      <c r="C54" s="649" t="s">
        <v>303</v>
      </c>
      <c r="D54" s="650"/>
      <c r="E54" s="650"/>
      <c r="F54" s="650"/>
      <c r="G54" s="197" t="s">
        <v>41</v>
      </c>
      <c r="H54" s="90"/>
      <c r="I54" s="90"/>
      <c r="J54" s="464"/>
      <c r="K54" s="118"/>
      <c r="L54" s="46"/>
      <c r="M54" s="1"/>
      <c r="N54" s="1"/>
      <c r="O54" s="1"/>
    </row>
    <row r="55" spans="2:15" s="90" customFormat="1" ht="15.5">
      <c r="B55" s="222" t="s">
        <v>190</v>
      </c>
      <c r="C55" s="626" t="s">
        <v>167</v>
      </c>
      <c r="D55" s="627"/>
      <c r="E55" s="627"/>
      <c r="F55" s="628"/>
      <c r="G55" s="194"/>
      <c r="J55" s="464"/>
      <c r="K55" s="470"/>
      <c r="L55" s="471"/>
      <c r="M55" s="464"/>
      <c r="N55" s="464"/>
      <c r="O55" s="464"/>
    </row>
    <row r="56" spans="2:15" s="1" customFormat="1" ht="15.5">
      <c r="B56" s="300" t="s">
        <v>315</v>
      </c>
      <c r="C56" s="629" t="s">
        <v>210</v>
      </c>
      <c r="D56" s="630"/>
      <c r="E56" s="630"/>
      <c r="F56" s="631"/>
      <c r="G56" s="57"/>
      <c r="K56" s="118"/>
      <c r="L56" s="46"/>
    </row>
    <row r="57" spans="2:15" s="1" customFormat="1" ht="15.5">
      <c r="B57" s="300" t="s">
        <v>204</v>
      </c>
      <c r="C57" s="632" t="s">
        <v>328</v>
      </c>
      <c r="D57" s="632"/>
      <c r="E57" s="632"/>
      <c r="F57" s="632"/>
      <c r="K57" s="118"/>
      <c r="L57" s="46"/>
    </row>
    <row r="58" spans="2:15" s="1" customFormat="1" ht="15.5">
      <c r="B58" s="300" t="s">
        <v>195</v>
      </c>
      <c r="C58" s="633" t="s">
        <v>316</v>
      </c>
      <c r="D58" s="634"/>
      <c r="E58" s="634"/>
      <c r="F58" s="635"/>
      <c r="G58" s="159"/>
      <c r="H58" s="299"/>
      <c r="I58" s="299"/>
      <c r="J58" s="299"/>
      <c r="K58" s="118"/>
      <c r="L58" s="46"/>
    </row>
    <row r="59" spans="2:15" s="1" customFormat="1" ht="13">
      <c r="B59" s="614"/>
      <c r="C59" s="90"/>
      <c r="D59" s="46"/>
      <c r="K59" s="118"/>
      <c r="L59" s="46"/>
    </row>
    <row r="60" spans="2:15" s="1" customFormat="1" ht="13">
      <c r="B60" s="614"/>
      <c r="C60" s="90"/>
      <c r="D60" s="46"/>
      <c r="K60" s="118"/>
      <c r="L60" s="46"/>
    </row>
    <row r="61" spans="2:15" s="1" customFormat="1" ht="13">
      <c r="B61" s="119"/>
      <c r="C61" s="90"/>
      <c r="D61" s="46"/>
      <c r="K61" s="118"/>
      <c r="L61" s="46"/>
    </row>
    <row r="62" spans="2:15" s="1" customFormat="1" ht="13">
      <c r="B62" s="119"/>
      <c r="C62" s="90"/>
      <c r="D62" s="46"/>
      <c r="K62" s="118"/>
      <c r="L62" s="46"/>
    </row>
    <row r="63" spans="2:15" ht="13">
      <c r="C63" s="90"/>
    </row>
  </sheetData>
  <mergeCells count="21">
    <mergeCell ref="G41:J41"/>
    <mergeCell ref="C42:F42"/>
    <mergeCell ref="C54:F54"/>
    <mergeCell ref="C49:F49"/>
    <mergeCell ref="C50:F50"/>
    <mergeCell ref="C51:F51"/>
    <mergeCell ref="C52:F52"/>
    <mergeCell ref="J53:L53"/>
    <mergeCell ref="C55:F55"/>
    <mergeCell ref="C56:F56"/>
    <mergeCell ref="C57:F57"/>
    <mergeCell ref="C58:F58"/>
    <mergeCell ref="C39:F39"/>
    <mergeCell ref="C43:F43"/>
    <mergeCell ref="C44:F44"/>
    <mergeCell ref="C45:F45"/>
    <mergeCell ref="C46:F46"/>
    <mergeCell ref="C40:F40"/>
    <mergeCell ref="C41:F41"/>
    <mergeCell ref="C48:F48"/>
    <mergeCell ref="C47:F47"/>
  </mergeCells>
  <phoneticPr fontId="31" type="noConversion"/>
  <printOptions gridLines="1"/>
  <pageMargins left="0.75" right="0.75" top="1" bottom="1" header="0.5" footer="0.5"/>
  <pageSetup scale="46" orientation="landscape" horizontalDpi="4294967294"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Q27"/>
  <sheetViews>
    <sheetView zoomScaleNormal="100" zoomScalePageLayoutView="125" workbookViewId="0">
      <pane xSplit="3" ySplit="1" topLeftCell="F2" activePane="bottomRight" state="frozen"/>
      <selection pane="topRight" activeCell="B1" sqref="B1"/>
      <selection pane="bottomLeft" activeCell="A5" sqref="A5"/>
      <selection pane="bottomRight" activeCell="L7" sqref="L7"/>
    </sheetView>
  </sheetViews>
  <sheetFormatPr defaultColWidth="22.1796875" defaultRowHeight="12.5"/>
  <cols>
    <col min="1" max="1" width="35" customWidth="1"/>
    <col min="2" max="2" width="27.81640625" customWidth="1"/>
    <col min="3" max="3" width="19" bestFit="1" customWidth="1"/>
    <col min="4" max="4" width="14.81640625" customWidth="1"/>
    <col min="5" max="5" width="8.81640625" customWidth="1"/>
    <col min="6" max="6" width="12.1796875" bestFit="1" customWidth="1"/>
    <col min="7" max="7" width="8.81640625" bestFit="1" customWidth="1"/>
    <col min="8" max="8" width="16.54296875" bestFit="1" customWidth="1"/>
    <col min="9" max="9" width="11.1796875" customWidth="1"/>
    <col min="10" max="10" width="15.1796875" bestFit="1" customWidth="1"/>
    <col min="11" max="11" width="18.54296875" bestFit="1" customWidth="1"/>
    <col min="12" max="12" width="19.54296875" bestFit="1" customWidth="1"/>
    <col min="13" max="13" width="7.1796875" customWidth="1"/>
    <col min="14" max="14" width="14.54296875" bestFit="1" customWidth="1"/>
    <col min="15" max="15" width="11.1796875" bestFit="1" customWidth="1"/>
    <col min="16" max="16" width="8" bestFit="1" customWidth="1"/>
    <col min="17" max="17" width="9.6328125" customWidth="1"/>
  </cols>
  <sheetData>
    <row r="1" spans="1:17" ht="13">
      <c r="A1" s="661" t="s">
        <v>310</v>
      </c>
      <c r="B1" s="661"/>
      <c r="C1" s="661"/>
    </row>
    <row r="2" spans="1:17">
      <c r="B2" s="159" t="s">
        <v>206</v>
      </c>
    </row>
    <row r="3" spans="1:17" s="98" customFormat="1" ht="37.5" customHeight="1">
      <c r="A3" s="267" t="s">
        <v>178</v>
      </c>
      <c r="B3" s="267" t="s">
        <v>179</v>
      </c>
      <c r="C3" s="267" t="s">
        <v>83</v>
      </c>
      <c r="D3" s="267" t="s">
        <v>180</v>
      </c>
      <c r="E3" s="267" t="s">
        <v>181</v>
      </c>
      <c r="F3" s="267" t="s">
        <v>182</v>
      </c>
      <c r="G3" s="267" t="s">
        <v>183</v>
      </c>
      <c r="H3" s="267" t="s">
        <v>84</v>
      </c>
      <c r="I3" s="267"/>
      <c r="J3" s="267" t="s">
        <v>184</v>
      </c>
      <c r="K3" s="267" t="s">
        <v>85</v>
      </c>
      <c r="L3" s="267" t="s">
        <v>86</v>
      </c>
      <c r="M3" s="267"/>
      <c r="N3" s="267" t="s">
        <v>87</v>
      </c>
      <c r="O3" s="267" t="s">
        <v>93</v>
      </c>
      <c r="P3" s="267" t="s">
        <v>75</v>
      </c>
      <c r="Q3" s="98" t="s">
        <v>55</v>
      </c>
    </row>
    <row r="4" spans="1:17" s="354" customFormat="1" ht="14.5">
      <c r="A4" s="246" t="s">
        <v>168</v>
      </c>
      <c r="B4" s="353"/>
      <c r="C4" s="353"/>
      <c r="D4" s="353"/>
      <c r="E4" s="353"/>
      <c r="F4" s="353"/>
      <c r="G4" s="353"/>
      <c r="H4" s="353"/>
      <c r="I4" s="353"/>
      <c r="J4" s="353"/>
      <c r="K4" s="353"/>
      <c r="L4" s="353"/>
      <c r="M4" s="353"/>
      <c r="N4" s="353"/>
      <c r="O4" s="353"/>
      <c r="P4" s="353"/>
      <c r="Q4" s="492">
        <f>K4+O4</f>
        <v>0</v>
      </c>
    </row>
    <row r="5" spans="1:17" s="354" customFormat="1" ht="14.5">
      <c r="A5" s="246" t="s">
        <v>171</v>
      </c>
      <c r="B5" s="353"/>
      <c r="C5" s="353"/>
      <c r="D5" s="353"/>
      <c r="E5" s="353"/>
      <c r="F5" s="353"/>
      <c r="G5" s="353"/>
      <c r="H5" s="353"/>
      <c r="I5" s="353"/>
      <c r="J5" s="353"/>
      <c r="K5" s="353"/>
      <c r="L5" s="353"/>
      <c r="M5" s="353"/>
      <c r="N5" s="353"/>
      <c r="O5" s="353"/>
      <c r="P5" s="353"/>
      <c r="Q5" s="492">
        <f t="shared" ref="Q5:Q17" si="0">K5+O5</f>
        <v>0</v>
      </c>
    </row>
    <row r="6" spans="1:17" s="354" customFormat="1" ht="14.5">
      <c r="A6" s="246" t="s">
        <v>173</v>
      </c>
      <c r="B6" s="481" t="s">
        <v>291</v>
      </c>
      <c r="C6" s="481" t="s">
        <v>291</v>
      </c>
      <c r="D6" s="481" t="s">
        <v>291</v>
      </c>
      <c r="E6" s="481" t="s">
        <v>291</v>
      </c>
      <c r="F6" s="481" t="s">
        <v>292</v>
      </c>
      <c r="G6" s="481" t="s">
        <v>291</v>
      </c>
      <c r="H6" s="481" t="s">
        <v>291</v>
      </c>
      <c r="I6" s="353"/>
      <c r="J6" s="353">
        <v>173.71</v>
      </c>
      <c r="K6" s="353">
        <v>20</v>
      </c>
      <c r="L6" s="353">
        <v>8</v>
      </c>
      <c r="M6" s="353"/>
      <c r="N6" s="353">
        <v>381.86</v>
      </c>
      <c r="O6" s="353">
        <v>26.75</v>
      </c>
      <c r="P6" s="353">
        <v>7</v>
      </c>
      <c r="Q6" s="492">
        <f t="shared" si="0"/>
        <v>46.75</v>
      </c>
    </row>
    <row r="7" spans="1:17" s="246" customFormat="1" ht="14.5">
      <c r="A7" s="246" t="s">
        <v>198</v>
      </c>
      <c r="B7" s="478" t="s">
        <v>291</v>
      </c>
      <c r="C7" s="478" t="s">
        <v>291</v>
      </c>
      <c r="D7" s="478" t="s">
        <v>291</v>
      </c>
      <c r="E7" s="478" t="s">
        <v>291</v>
      </c>
      <c r="F7" s="478" t="s">
        <v>291</v>
      </c>
      <c r="G7" s="478" t="s">
        <v>291</v>
      </c>
      <c r="H7" s="478" t="s">
        <v>291</v>
      </c>
      <c r="I7" s="353"/>
      <c r="J7" s="478">
        <v>204.65</v>
      </c>
      <c r="K7" s="478">
        <v>280.89</v>
      </c>
      <c r="L7" s="478">
        <v>1</v>
      </c>
      <c r="M7" s="478"/>
      <c r="N7" s="478">
        <v>464.69</v>
      </c>
      <c r="O7" s="478">
        <v>2.98</v>
      </c>
      <c r="P7" s="353">
        <v>11</v>
      </c>
      <c r="Q7" s="492">
        <f t="shared" si="0"/>
        <v>283.87</v>
      </c>
    </row>
    <row r="8" spans="1:17" s="246" customFormat="1" ht="14.5">
      <c r="A8" s="246" t="s">
        <v>164</v>
      </c>
      <c r="B8" s="478" t="s">
        <v>291</v>
      </c>
      <c r="C8" s="478" t="s">
        <v>291</v>
      </c>
      <c r="D8" s="478" t="s">
        <v>291</v>
      </c>
      <c r="E8" s="478" t="s">
        <v>291</v>
      </c>
      <c r="F8" s="478" t="s">
        <v>291</v>
      </c>
      <c r="G8" s="478" t="s">
        <v>291</v>
      </c>
      <c r="H8" s="478" t="s">
        <v>291</v>
      </c>
      <c r="I8" s="353"/>
      <c r="J8" s="478">
        <v>203.13</v>
      </c>
      <c r="K8" s="478">
        <v>275.45999999999998</v>
      </c>
      <c r="L8" s="478">
        <v>2</v>
      </c>
      <c r="M8" s="478"/>
      <c r="N8" s="478">
        <v>361.34</v>
      </c>
      <c r="O8" s="478">
        <v>32.64</v>
      </c>
      <c r="P8" s="353">
        <v>4</v>
      </c>
      <c r="Q8" s="492">
        <f t="shared" si="0"/>
        <v>308.09999999999997</v>
      </c>
    </row>
    <row r="9" spans="1:17" s="246" customFormat="1" ht="14.5">
      <c r="A9" s="246" t="s">
        <v>208</v>
      </c>
      <c r="B9" s="353"/>
      <c r="C9" s="353"/>
      <c r="D9" s="353"/>
      <c r="E9" s="353"/>
      <c r="F9" s="353"/>
      <c r="G9" s="353"/>
      <c r="H9" s="353"/>
      <c r="I9" s="353"/>
      <c r="J9" s="353"/>
      <c r="K9" s="353"/>
      <c r="L9" s="353"/>
      <c r="M9" s="353"/>
      <c r="N9" s="353"/>
      <c r="O9" s="353"/>
      <c r="P9" s="353"/>
      <c r="Q9" s="492">
        <f t="shared" si="0"/>
        <v>0</v>
      </c>
    </row>
    <row r="10" spans="1:17" s="246" customFormat="1" ht="14.5">
      <c r="A10" s="246" t="s">
        <v>167</v>
      </c>
      <c r="B10" s="481" t="s">
        <v>291</v>
      </c>
      <c r="C10" s="481" t="s">
        <v>291</v>
      </c>
      <c r="D10" s="481" t="s">
        <v>291</v>
      </c>
      <c r="E10" s="481" t="s">
        <v>291</v>
      </c>
      <c r="F10" s="481" t="s">
        <v>292</v>
      </c>
      <c r="G10" s="481" t="s">
        <v>291</v>
      </c>
      <c r="H10" s="481" t="s">
        <v>291</v>
      </c>
      <c r="I10" s="353"/>
      <c r="J10" s="353">
        <v>171.19</v>
      </c>
      <c r="K10" s="353">
        <v>20</v>
      </c>
      <c r="L10" s="353">
        <v>7</v>
      </c>
      <c r="M10" s="353"/>
      <c r="N10" s="353">
        <v>300.86</v>
      </c>
      <c r="O10" s="353">
        <v>50</v>
      </c>
      <c r="P10" s="353">
        <v>1</v>
      </c>
      <c r="Q10" s="492">
        <f t="shared" si="0"/>
        <v>70</v>
      </c>
    </row>
    <row r="11" spans="1:17" s="246" customFormat="1" ht="14.5">
      <c r="A11" s="246" t="s">
        <v>209</v>
      </c>
      <c r="B11" s="353"/>
      <c r="C11" s="353"/>
      <c r="D11" s="353"/>
      <c r="E11" s="353"/>
      <c r="F11" s="353"/>
      <c r="G11" s="353"/>
      <c r="H11" s="353"/>
      <c r="I11" s="353"/>
      <c r="J11" s="353"/>
      <c r="K11" s="353"/>
      <c r="L11" s="353"/>
      <c r="M11" s="353"/>
      <c r="N11" s="353"/>
      <c r="O11" s="353"/>
      <c r="P11" s="353"/>
      <c r="Q11" s="492">
        <f t="shared" si="0"/>
        <v>0</v>
      </c>
    </row>
    <row r="12" spans="1:17" s="354" customFormat="1" ht="14.5">
      <c r="A12" s="246" t="s">
        <v>170</v>
      </c>
      <c r="B12" s="478" t="s">
        <v>291</v>
      </c>
      <c r="C12" s="478" t="s">
        <v>291</v>
      </c>
      <c r="D12" s="478" t="s">
        <v>291</v>
      </c>
      <c r="E12" s="478" t="s">
        <v>291</v>
      </c>
      <c r="F12" s="478" t="s">
        <v>292</v>
      </c>
      <c r="G12" s="478" t="s">
        <v>291</v>
      </c>
      <c r="H12" s="478" t="s">
        <v>291</v>
      </c>
      <c r="I12" s="478"/>
      <c r="J12" s="478">
        <v>154.66</v>
      </c>
      <c r="K12" s="478">
        <v>20</v>
      </c>
      <c r="L12" s="478">
        <v>6</v>
      </c>
      <c r="M12" s="478"/>
      <c r="N12" s="478">
        <v>410.48</v>
      </c>
      <c r="O12" s="478">
        <v>18.54</v>
      </c>
      <c r="P12" s="353">
        <v>10</v>
      </c>
      <c r="Q12" s="492">
        <f t="shared" si="0"/>
        <v>38.54</v>
      </c>
    </row>
    <row r="13" spans="1:17" s="246" customFormat="1" ht="14.5">
      <c r="A13" s="246" t="s">
        <v>166</v>
      </c>
      <c r="B13" s="481" t="s">
        <v>291</v>
      </c>
      <c r="C13" s="481" t="s">
        <v>291</v>
      </c>
      <c r="D13" s="481" t="s">
        <v>291</v>
      </c>
      <c r="E13" s="481" t="s">
        <v>291</v>
      </c>
      <c r="F13" s="481" t="s">
        <v>291</v>
      </c>
      <c r="G13" s="481" t="s">
        <v>291</v>
      </c>
      <c r="H13" s="481" t="s">
        <v>291</v>
      </c>
      <c r="I13" s="353"/>
      <c r="J13" s="353">
        <v>194.82</v>
      </c>
      <c r="K13" s="353">
        <v>245.79</v>
      </c>
      <c r="L13" s="353">
        <v>4</v>
      </c>
      <c r="M13" s="353"/>
      <c r="N13" s="353">
        <v>314.17</v>
      </c>
      <c r="O13" s="353">
        <v>46.18</v>
      </c>
      <c r="P13" s="353">
        <v>2</v>
      </c>
      <c r="Q13" s="492">
        <f t="shared" si="0"/>
        <v>291.96999999999997</v>
      </c>
    </row>
    <row r="14" spans="1:17" s="246" customFormat="1" ht="14.5">
      <c r="A14" s="246" t="s">
        <v>165</v>
      </c>
      <c r="B14" s="478" t="s">
        <v>291</v>
      </c>
      <c r="C14" s="478" t="s">
        <v>291</v>
      </c>
      <c r="D14" s="478" t="s">
        <v>291</v>
      </c>
      <c r="E14" s="478" t="s">
        <v>291</v>
      </c>
      <c r="F14" s="478" t="s">
        <v>291</v>
      </c>
      <c r="G14" s="478" t="s">
        <v>291</v>
      </c>
      <c r="H14" s="478" t="s">
        <v>291</v>
      </c>
      <c r="I14" s="478"/>
      <c r="J14" s="478">
        <v>198.3</v>
      </c>
      <c r="K14" s="478">
        <v>258.20999999999998</v>
      </c>
      <c r="L14" s="478">
        <v>3</v>
      </c>
      <c r="M14" s="478"/>
      <c r="N14" s="478">
        <v>404.16</v>
      </c>
      <c r="O14" s="478">
        <v>20.350000000000001</v>
      </c>
      <c r="P14" s="353">
        <v>9</v>
      </c>
      <c r="Q14" s="492">
        <f t="shared" si="0"/>
        <v>278.56</v>
      </c>
    </row>
    <row r="15" spans="1:17" s="246" customFormat="1" ht="14.5">
      <c r="A15" s="246" t="s">
        <v>172</v>
      </c>
      <c r="B15" s="353"/>
      <c r="C15" s="353"/>
      <c r="D15" s="353"/>
      <c r="E15" s="353"/>
      <c r="F15" s="353"/>
      <c r="G15" s="353"/>
      <c r="H15" s="353"/>
      <c r="I15" s="353"/>
      <c r="J15" s="353"/>
      <c r="K15" s="353"/>
      <c r="L15" s="353"/>
      <c r="M15" s="353"/>
      <c r="N15" s="353"/>
      <c r="O15" s="353"/>
      <c r="P15" s="353"/>
      <c r="Q15" s="492">
        <f t="shared" si="0"/>
        <v>0</v>
      </c>
    </row>
    <row r="16" spans="1:17" s="354" customFormat="1" ht="14.5">
      <c r="A16" s="246" t="s">
        <v>210</v>
      </c>
      <c r="B16" s="478" t="s">
        <v>291</v>
      </c>
      <c r="C16" s="478" t="s">
        <v>291</v>
      </c>
      <c r="D16" s="478" t="s">
        <v>291</v>
      </c>
      <c r="E16" s="478" t="s">
        <v>291</v>
      </c>
      <c r="F16" s="478" t="s">
        <v>291</v>
      </c>
      <c r="G16" s="478" t="s">
        <v>291</v>
      </c>
      <c r="H16" s="478" t="s">
        <v>291</v>
      </c>
      <c r="I16" s="478"/>
      <c r="J16" s="478">
        <v>186.81</v>
      </c>
      <c r="K16" s="478">
        <v>217.18</v>
      </c>
      <c r="L16" s="478">
        <v>5</v>
      </c>
      <c r="M16" s="478"/>
      <c r="N16" s="478">
        <v>466.37</v>
      </c>
      <c r="O16" s="478">
        <v>2.5</v>
      </c>
      <c r="P16" s="353">
        <v>12</v>
      </c>
      <c r="Q16" s="492">
        <f t="shared" si="0"/>
        <v>219.68</v>
      </c>
    </row>
    <row r="17" spans="1:17" s="354" customFormat="1" ht="14.5">
      <c r="A17" s="246" t="s">
        <v>169</v>
      </c>
      <c r="B17" s="353"/>
      <c r="C17" s="353"/>
      <c r="D17" s="353"/>
      <c r="E17" s="353"/>
      <c r="F17" s="353"/>
      <c r="G17" s="353"/>
      <c r="H17" s="353"/>
      <c r="I17" s="353"/>
      <c r="J17" s="353"/>
      <c r="K17" s="353"/>
      <c r="L17" s="353"/>
      <c r="M17" s="353"/>
      <c r="N17" s="353"/>
      <c r="O17" s="353"/>
      <c r="P17" s="353"/>
      <c r="Q17" s="492">
        <f t="shared" si="0"/>
        <v>0</v>
      </c>
    </row>
    <row r="19" spans="1:17" ht="14.5">
      <c r="A19" s="267" t="s">
        <v>142</v>
      </c>
      <c r="B19" s="267" t="s">
        <v>201</v>
      </c>
      <c r="C19">
        <f>MIN(J4:J17)</f>
        <v>154.66</v>
      </c>
    </row>
    <row r="20" spans="1:17" ht="14.5">
      <c r="A20" s="267" t="s">
        <v>143</v>
      </c>
      <c r="B20" s="267" t="s">
        <v>201</v>
      </c>
      <c r="C20">
        <f>MAX(J4:J17)</f>
        <v>204.65</v>
      </c>
    </row>
    <row r="21" spans="1:17">
      <c r="I21" s="449"/>
    </row>
    <row r="22" spans="1:17" ht="14.5">
      <c r="A22" s="267" t="s">
        <v>144</v>
      </c>
      <c r="B22" s="267" t="s">
        <v>202</v>
      </c>
      <c r="C22">
        <f>MIN(N4:N17)</f>
        <v>300.86</v>
      </c>
    </row>
    <row r="23" spans="1:17" ht="14.5">
      <c r="A23" s="267" t="s">
        <v>145</v>
      </c>
      <c r="B23" s="267" t="s">
        <v>202</v>
      </c>
      <c r="C23">
        <f>MAX(N4:N17)</f>
        <v>466.37</v>
      </c>
    </row>
    <row r="25" spans="1:17" ht="14.5">
      <c r="A25" s="267" t="s">
        <v>185</v>
      </c>
      <c r="B25" s="267"/>
      <c r="C25" s="267"/>
    </row>
    <row r="26" spans="1:17" ht="14.5">
      <c r="A26" s="267" t="s">
        <v>186</v>
      </c>
      <c r="B26" s="267"/>
      <c r="C26" s="267"/>
    </row>
    <row r="27" spans="1:17" ht="14.5">
      <c r="A27" s="267" t="s">
        <v>88</v>
      </c>
      <c r="B27" s="267"/>
      <c r="C27" s="267"/>
    </row>
  </sheetData>
  <mergeCells count="1">
    <mergeCell ref="A1:C1"/>
  </mergeCells>
  <phoneticPr fontId="31" type="noConversion"/>
  <printOptions gridLines="1"/>
  <pageMargins left="0.25" right="0.25" top="1" bottom="1" header="0.5" footer="0.5"/>
  <pageSetup scale="64" orientation="landscape" horizontalDpi="4294967294" verticalDpi="3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AI97"/>
  <sheetViews>
    <sheetView zoomScale="70" zoomScaleNormal="70" zoomScalePageLayoutView="125" workbookViewId="0">
      <selection activeCell="A15" sqref="A15"/>
    </sheetView>
  </sheetViews>
  <sheetFormatPr defaultColWidth="8.81640625" defaultRowHeight="12.5"/>
  <cols>
    <col min="1" max="1" width="47" customWidth="1"/>
    <col min="2" max="2" width="36" bestFit="1" customWidth="1"/>
    <col min="3" max="3" width="14.1796875" bestFit="1" customWidth="1"/>
    <col min="4" max="4" width="10.81640625" bestFit="1" customWidth="1"/>
    <col min="5" max="5" width="13.453125" customWidth="1"/>
    <col min="6" max="6" width="15.453125" customWidth="1"/>
    <col min="7" max="7" width="9.1796875" customWidth="1"/>
    <col min="8" max="8" width="18.1796875" bestFit="1" customWidth="1"/>
    <col min="9" max="9" width="11.453125" bestFit="1" customWidth="1"/>
    <col min="10" max="10" width="12.54296875" bestFit="1" customWidth="1"/>
    <col min="11" max="11" width="15" style="150" bestFit="1" customWidth="1"/>
    <col min="12" max="12" width="51.36328125" style="3" bestFit="1" customWidth="1"/>
    <col min="13" max="13" width="10.81640625" style="3" customWidth="1"/>
    <col min="14" max="14" width="8.81640625" style="3" customWidth="1"/>
    <col min="15" max="15" width="3" style="3" customWidth="1"/>
    <col min="16" max="22" width="8.81640625" style="33" customWidth="1"/>
    <col min="23" max="23" width="10" style="33" customWidth="1"/>
    <col min="24" max="25" width="8.81640625" style="33" customWidth="1"/>
    <col min="26" max="26" width="8.81640625" customWidth="1"/>
    <col min="27" max="27" width="2.1796875" customWidth="1"/>
    <col min="28" max="28" width="16.1796875" style="3" customWidth="1"/>
    <col min="29" max="29" width="12.81640625" style="3" customWidth="1"/>
    <col min="30" max="33" width="8.81640625" customWidth="1"/>
  </cols>
  <sheetData>
    <row r="1" spans="1:35" ht="36">
      <c r="A1" s="263" t="s">
        <v>311</v>
      </c>
      <c r="B1" s="277"/>
      <c r="C1" s="277"/>
      <c r="E1" s="277" t="s">
        <v>89</v>
      </c>
      <c r="F1" s="286">
        <f>MIN(B6:B19)</f>
        <v>6.58</v>
      </c>
      <c r="G1" s="277"/>
      <c r="H1" s="277" t="s">
        <v>91</v>
      </c>
      <c r="I1" s="277"/>
      <c r="J1" s="291">
        <f>MIN(H6:H19)</f>
        <v>14.100719424460429</v>
      </c>
      <c r="K1" s="287"/>
      <c r="L1" s="280"/>
      <c r="M1" s="24"/>
      <c r="N1" s="24"/>
      <c r="O1" s="24"/>
      <c r="P1" s="85"/>
      <c r="Q1" s="60"/>
      <c r="R1" s="61"/>
      <c r="S1" s="61"/>
      <c r="T1" s="61"/>
      <c r="U1" s="61"/>
      <c r="V1" s="61"/>
      <c r="W1" s="61"/>
      <c r="X1" s="61"/>
      <c r="Y1" s="61"/>
      <c r="Z1" s="62"/>
      <c r="AA1" s="63"/>
      <c r="AB1" s="64"/>
      <c r="AC1" s="46"/>
      <c r="AD1" s="1"/>
      <c r="AE1" s="1"/>
      <c r="AF1" s="1"/>
    </row>
    <row r="2" spans="1:35" ht="13">
      <c r="A2" s="56"/>
      <c r="B2" s="279"/>
      <c r="C2" s="279"/>
      <c r="E2" s="279" t="s">
        <v>90</v>
      </c>
      <c r="F2" s="286">
        <f>MAX(B6:B19)</f>
        <v>11.65</v>
      </c>
      <c r="G2" s="279"/>
      <c r="H2" s="279" t="s">
        <v>92</v>
      </c>
      <c r="I2" s="279"/>
      <c r="J2" s="297">
        <f>MAX(H6:H19)</f>
        <v>20.362694300518136</v>
      </c>
      <c r="K2" s="288"/>
      <c r="L2" s="283"/>
      <c r="M2" s="40"/>
      <c r="N2" s="40"/>
      <c r="O2" s="40"/>
      <c r="P2" s="86"/>
      <c r="Q2" s="67"/>
      <c r="R2" s="67"/>
      <c r="S2" s="61"/>
      <c r="T2" s="61"/>
      <c r="U2" s="61"/>
      <c r="V2" s="61"/>
      <c r="W2" s="61"/>
      <c r="X2" s="61"/>
      <c r="Y2" s="61"/>
      <c r="Z2" s="62"/>
      <c r="AA2" s="63"/>
      <c r="AB2" s="64"/>
      <c r="AC2" s="46"/>
      <c r="AD2" s="1"/>
      <c r="AE2" s="1"/>
      <c r="AF2" s="1"/>
    </row>
    <row r="3" spans="1:35" ht="13">
      <c r="A3" s="167"/>
      <c r="B3" s="276" t="s">
        <v>78</v>
      </c>
      <c r="C3" s="278"/>
      <c r="D3" s="278"/>
      <c r="E3" s="278"/>
      <c r="F3" s="278"/>
      <c r="G3" s="278"/>
      <c r="H3" s="278"/>
      <c r="I3" s="278"/>
      <c r="J3" s="276"/>
      <c r="K3" s="289"/>
      <c r="L3" s="280"/>
      <c r="M3" s="20"/>
      <c r="N3" s="20"/>
      <c r="O3" s="20"/>
      <c r="P3" s="87"/>
      <c r="Q3" s="69"/>
      <c r="R3" s="67"/>
      <c r="S3" s="61"/>
      <c r="T3" s="61"/>
      <c r="U3" s="61"/>
      <c r="V3" s="61"/>
      <c r="W3" s="61"/>
      <c r="X3" s="61"/>
      <c r="Y3" s="61"/>
      <c r="Z3" s="62"/>
      <c r="AA3" s="63"/>
      <c r="AB3" s="64"/>
      <c r="AC3" s="46"/>
      <c r="AD3" s="1"/>
      <c r="AE3" s="1"/>
      <c r="AF3" s="1"/>
    </row>
    <row r="4" spans="1:35" ht="13">
      <c r="A4" s="14"/>
      <c r="B4" s="276"/>
      <c r="C4" s="278"/>
      <c r="D4" s="278"/>
      <c r="E4" s="278" t="s">
        <v>41</v>
      </c>
      <c r="F4" s="278"/>
      <c r="G4" s="278"/>
      <c r="H4" s="278"/>
      <c r="I4" s="278"/>
      <c r="J4" s="278"/>
      <c r="K4" s="289"/>
      <c r="L4" s="280"/>
      <c r="M4" s="20"/>
      <c r="N4" s="20"/>
      <c r="O4" s="20"/>
      <c r="P4" s="87"/>
      <c r="Q4" s="69"/>
      <c r="R4" s="67"/>
      <c r="S4" s="61"/>
      <c r="T4" s="61"/>
      <c r="U4" s="61"/>
      <c r="V4" s="61"/>
      <c r="W4" s="61"/>
      <c r="X4" s="61"/>
      <c r="Y4" s="61"/>
      <c r="Z4" s="62"/>
      <c r="AA4" s="63"/>
      <c r="AB4" s="64"/>
      <c r="AC4" s="46"/>
      <c r="AD4" s="1"/>
      <c r="AE4" s="1"/>
      <c r="AF4" s="1"/>
    </row>
    <row r="5" spans="1:35" ht="26">
      <c r="B5" s="294" t="s">
        <v>136</v>
      </c>
      <c r="C5" s="281" t="s">
        <v>76</v>
      </c>
      <c r="D5" s="278" t="s">
        <v>26</v>
      </c>
      <c r="E5" s="278"/>
      <c r="F5" s="294" t="s">
        <v>140</v>
      </c>
      <c r="G5" s="294" t="s">
        <v>100</v>
      </c>
      <c r="H5" s="281" t="s">
        <v>131</v>
      </c>
      <c r="I5" s="281" t="s">
        <v>154</v>
      </c>
      <c r="J5" s="281" t="s">
        <v>155</v>
      </c>
      <c r="K5" s="296" t="s">
        <v>153</v>
      </c>
      <c r="L5" s="295" t="s">
        <v>101</v>
      </c>
      <c r="M5" s="18"/>
      <c r="N5" s="24"/>
      <c r="O5" s="24"/>
      <c r="P5" s="85"/>
      <c r="Q5" s="60"/>
      <c r="R5" s="60"/>
      <c r="S5" s="60"/>
      <c r="T5" s="60"/>
      <c r="U5" s="60"/>
      <c r="V5" s="60"/>
      <c r="W5" s="60"/>
      <c r="X5" s="60"/>
      <c r="Y5" s="60"/>
      <c r="Z5" s="59"/>
      <c r="AA5" s="70"/>
      <c r="AB5" s="71"/>
    </row>
    <row r="6" spans="1:35" s="346" customFormat="1" ht="18.5">
      <c r="A6" s="346" t="s">
        <v>168</v>
      </c>
      <c r="B6" s="355" t="s">
        <v>293</v>
      </c>
      <c r="C6" s="201"/>
      <c r="D6" s="356"/>
      <c r="E6" s="357"/>
      <c r="F6" s="358"/>
      <c r="G6" s="359"/>
      <c r="H6" s="360"/>
      <c r="I6" s="361"/>
      <c r="J6" s="356">
        <f>RANK(I6,$I$6:$I$19)</f>
        <v>5</v>
      </c>
      <c r="K6" s="362">
        <f>C6+I6</f>
        <v>0</v>
      </c>
      <c r="L6" s="363" t="s">
        <v>293</v>
      </c>
      <c r="M6" s="364"/>
      <c r="N6" s="365"/>
      <c r="O6" s="365"/>
      <c r="P6" s="366"/>
      <c r="Q6" s="367"/>
      <c r="R6" s="367"/>
      <c r="S6" s="367"/>
      <c r="T6" s="367"/>
      <c r="U6" s="367"/>
      <c r="V6" s="367"/>
      <c r="W6" s="367"/>
      <c r="X6" s="367"/>
      <c r="Y6" s="367"/>
      <c r="Z6" s="368"/>
      <c r="AA6" s="369"/>
      <c r="AB6" s="370"/>
      <c r="AC6" s="371"/>
      <c r="AH6" s="372"/>
      <c r="AI6" s="372"/>
    </row>
    <row r="7" spans="1:35" s="346" customFormat="1" ht="18.5">
      <c r="A7" s="346" t="s">
        <v>171</v>
      </c>
      <c r="B7" s="355" t="s">
        <v>293</v>
      </c>
      <c r="C7" s="201"/>
      <c r="D7" s="356"/>
      <c r="E7" s="373"/>
      <c r="F7" s="358"/>
      <c r="G7" s="359"/>
      <c r="H7" s="360"/>
      <c r="I7" s="361"/>
      <c r="J7" s="356">
        <f t="shared" ref="J7:J19" si="0">RANK(I7,$I$6:$I$19)</f>
        <v>5</v>
      </c>
      <c r="K7" s="362">
        <f t="shared" ref="K7:K15" si="1">C7+I7</f>
        <v>0</v>
      </c>
      <c r="L7" s="363" t="s">
        <v>293</v>
      </c>
      <c r="M7" s="364"/>
      <c r="N7" s="365"/>
      <c r="O7" s="365"/>
      <c r="P7" s="374"/>
      <c r="Q7" s="367"/>
      <c r="R7" s="367"/>
      <c r="S7" s="367"/>
      <c r="T7" s="367"/>
      <c r="U7" s="367"/>
      <c r="V7" s="367"/>
      <c r="W7" s="367"/>
      <c r="X7" s="367"/>
      <c r="Y7" s="367"/>
      <c r="Z7" s="368"/>
      <c r="AA7" s="369"/>
      <c r="AB7" s="370"/>
      <c r="AC7" s="371"/>
      <c r="AH7" s="372"/>
      <c r="AI7" s="372"/>
    </row>
    <row r="8" spans="1:35" s="346" customFormat="1" ht="18.5">
      <c r="A8" s="346" t="s">
        <v>173</v>
      </c>
      <c r="B8" s="355" t="s">
        <v>293</v>
      </c>
      <c r="C8" s="201"/>
      <c r="D8" s="356"/>
      <c r="E8" s="373"/>
      <c r="F8" s="358"/>
      <c r="G8" s="359"/>
      <c r="H8" s="360"/>
      <c r="I8" s="361"/>
      <c r="J8" s="356">
        <f t="shared" si="0"/>
        <v>5</v>
      </c>
      <c r="K8" s="362">
        <f t="shared" si="1"/>
        <v>0</v>
      </c>
      <c r="L8" s="363" t="s">
        <v>294</v>
      </c>
      <c r="M8" s="364"/>
      <c r="N8" s="365"/>
      <c r="O8" s="365"/>
      <c r="P8" s="374"/>
      <c r="Q8" s="367"/>
      <c r="R8" s="367"/>
      <c r="S8" s="367"/>
      <c r="T8" s="367"/>
      <c r="U8" s="367"/>
      <c r="V8" s="367"/>
      <c r="W8" s="367"/>
      <c r="X8" s="367"/>
      <c r="Y8" s="367"/>
      <c r="Z8" s="368"/>
      <c r="AA8" s="369"/>
      <c r="AB8" s="370"/>
      <c r="AC8" s="371"/>
      <c r="AH8" s="372"/>
      <c r="AI8" s="372"/>
    </row>
    <row r="9" spans="1:35" s="380" customFormat="1" ht="18.5">
      <c r="A9" s="346" t="s">
        <v>198</v>
      </c>
      <c r="B9" s="355">
        <v>10.199999999999999</v>
      </c>
      <c r="C9" s="201">
        <f t="shared" ref="C9:C14" si="2">$B$21*B9+$B$22</f>
        <v>16.084812623274175</v>
      </c>
      <c r="D9" s="356">
        <f t="shared" ref="D9:D14" si="3">RANK(C9,$C$6:$C$18)</f>
        <v>3</v>
      </c>
      <c r="E9" s="375"/>
      <c r="F9" s="358">
        <v>0.223</v>
      </c>
      <c r="G9" s="359">
        <v>3.93</v>
      </c>
      <c r="H9" s="360">
        <f t="shared" ref="H9:H14" si="4">G9/F9</f>
        <v>17.623318385650226</v>
      </c>
      <c r="I9" s="361">
        <f t="shared" ref="I9:I14" si="5">$F$21*H9+$F$22</f>
        <v>28.126901104779648</v>
      </c>
      <c r="J9" s="356">
        <f t="shared" si="0"/>
        <v>4</v>
      </c>
      <c r="K9" s="362">
        <f t="shared" si="1"/>
        <v>44.211713728053823</v>
      </c>
      <c r="L9" s="363" t="s">
        <v>295</v>
      </c>
      <c r="M9" s="376"/>
      <c r="N9" s="377"/>
      <c r="O9" s="377"/>
      <c r="P9" s="378"/>
      <c r="Q9" s="378"/>
      <c r="R9" s="378"/>
      <c r="S9" s="378"/>
      <c r="T9" s="378"/>
      <c r="U9" s="378"/>
      <c r="V9" s="378"/>
      <c r="W9" s="378"/>
      <c r="X9" s="378"/>
      <c r="Y9" s="378"/>
      <c r="Z9" s="379"/>
      <c r="AB9" s="381"/>
      <c r="AC9" s="381"/>
      <c r="AH9" s="382"/>
      <c r="AI9" s="382"/>
    </row>
    <row r="10" spans="1:35" s="380" customFormat="1" ht="18.5">
      <c r="A10" s="346" t="s">
        <v>164</v>
      </c>
      <c r="B10" s="355">
        <v>8.91</v>
      </c>
      <c r="C10" s="201">
        <f t="shared" si="2"/>
        <v>28.170611439842219</v>
      </c>
      <c r="D10" s="356">
        <f t="shared" si="3"/>
        <v>2</v>
      </c>
      <c r="E10" s="375"/>
      <c r="F10" s="358">
        <v>0.20300000000000001</v>
      </c>
      <c r="G10" s="359">
        <v>3.94</v>
      </c>
      <c r="H10" s="360">
        <f t="shared" si="4"/>
        <v>19.40886699507389</v>
      </c>
      <c r="I10" s="361">
        <f t="shared" si="5"/>
        <v>42.383973711782602</v>
      </c>
      <c r="J10" s="356">
        <f t="shared" si="0"/>
        <v>2</v>
      </c>
      <c r="K10" s="362">
        <f t="shared" si="1"/>
        <v>70.554585151624821</v>
      </c>
      <c r="L10" s="363" t="s">
        <v>295</v>
      </c>
      <c r="M10" s="376"/>
      <c r="N10" s="377"/>
      <c r="O10" s="377"/>
      <c r="P10" s="383"/>
      <c r="Q10" s="383"/>
      <c r="R10" s="383"/>
      <c r="S10" s="383"/>
      <c r="T10" s="378"/>
      <c r="U10" s="378"/>
      <c r="V10" s="378"/>
      <c r="W10" s="378"/>
      <c r="X10" s="378"/>
      <c r="Y10" s="378"/>
      <c r="Z10" s="379"/>
      <c r="AB10" s="381"/>
      <c r="AC10" s="381"/>
      <c r="AH10" s="382"/>
      <c r="AI10" s="382"/>
    </row>
    <row r="11" spans="1:35" s="346" customFormat="1" ht="18.5">
      <c r="A11" s="346" t="s">
        <v>208</v>
      </c>
      <c r="B11" s="355" t="s">
        <v>293</v>
      </c>
      <c r="C11" s="201"/>
      <c r="D11" s="356"/>
      <c r="E11" s="357"/>
      <c r="F11" s="358"/>
      <c r="G11" s="359"/>
      <c r="H11" s="360"/>
      <c r="I11" s="361"/>
      <c r="J11" s="356">
        <f t="shared" si="0"/>
        <v>5</v>
      </c>
      <c r="K11" s="362">
        <f t="shared" si="1"/>
        <v>0</v>
      </c>
      <c r="L11" s="363" t="s">
        <v>293</v>
      </c>
      <c r="M11" s="364"/>
      <c r="N11" s="365"/>
      <c r="O11" s="365"/>
      <c r="P11" s="366"/>
      <c r="Q11" s="384"/>
      <c r="R11" s="384"/>
      <c r="S11" s="384"/>
      <c r="T11" s="367"/>
      <c r="U11" s="367"/>
      <c r="V11" s="367"/>
      <c r="W11" s="367"/>
      <c r="X11" s="367"/>
      <c r="Y11" s="367"/>
      <c r="Z11" s="368"/>
      <c r="AA11" s="369"/>
      <c r="AB11" s="370"/>
      <c r="AC11" s="371"/>
      <c r="AH11" s="372"/>
      <c r="AI11" s="372"/>
    </row>
    <row r="12" spans="1:35" s="346" customFormat="1" ht="18.5">
      <c r="A12" s="346" t="s">
        <v>167</v>
      </c>
      <c r="B12" s="355">
        <v>6.58</v>
      </c>
      <c r="C12" s="201">
        <f t="shared" si="2"/>
        <v>50.000000000000007</v>
      </c>
      <c r="D12" s="356">
        <f t="shared" si="3"/>
        <v>1</v>
      </c>
      <c r="E12" s="357"/>
      <c r="F12" s="358">
        <v>0.21099999999999999</v>
      </c>
      <c r="G12" s="359">
        <v>3.95</v>
      </c>
      <c r="H12" s="360">
        <f t="shared" si="4"/>
        <v>18.720379146919434</v>
      </c>
      <c r="I12" s="361">
        <f t="shared" si="5"/>
        <v>36.88660377832241</v>
      </c>
      <c r="J12" s="356">
        <f t="shared" si="0"/>
        <v>3</v>
      </c>
      <c r="K12" s="362">
        <f t="shared" si="1"/>
        <v>86.88660377832241</v>
      </c>
      <c r="L12" s="363" t="s">
        <v>296</v>
      </c>
      <c r="M12" s="364"/>
      <c r="N12" s="365"/>
      <c r="O12" s="365"/>
      <c r="P12" s="366"/>
      <c r="Q12" s="384"/>
      <c r="R12" s="384"/>
      <c r="S12" s="384"/>
      <c r="T12" s="367"/>
      <c r="U12" s="367"/>
      <c r="V12" s="367"/>
      <c r="W12" s="367"/>
      <c r="X12" s="367"/>
      <c r="Y12" s="367"/>
      <c r="Z12" s="368"/>
      <c r="AA12" s="369"/>
      <c r="AB12" s="370"/>
      <c r="AC12" s="371"/>
      <c r="AH12" s="372"/>
      <c r="AI12" s="372"/>
    </row>
    <row r="13" spans="1:35" s="346" customFormat="1" ht="18.5">
      <c r="A13" s="346" t="s">
        <v>209</v>
      </c>
      <c r="B13" s="355" t="s">
        <v>293</v>
      </c>
      <c r="C13" s="201"/>
      <c r="D13" s="356"/>
      <c r="E13" s="373"/>
      <c r="F13" s="358"/>
      <c r="G13" s="359"/>
      <c r="H13" s="360"/>
      <c r="I13" s="361"/>
      <c r="J13" s="356">
        <f t="shared" si="0"/>
        <v>5</v>
      </c>
      <c r="K13" s="362">
        <f t="shared" si="1"/>
        <v>0</v>
      </c>
      <c r="L13" s="363" t="s">
        <v>293</v>
      </c>
      <c r="M13" s="364"/>
      <c r="N13" s="365"/>
      <c r="O13" s="365"/>
      <c r="P13" s="374"/>
      <c r="Q13" s="367"/>
      <c r="R13" s="367"/>
      <c r="S13" s="367"/>
      <c r="T13" s="367"/>
      <c r="U13" s="367"/>
      <c r="V13" s="367"/>
      <c r="W13" s="367"/>
      <c r="X13" s="367"/>
      <c r="Y13" s="367"/>
      <c r="Z13" s="368"/>
      <c r="AA13" s="369"/>
      <c r="AB13" s="370"/>
      <c r="AC13" s="371"/>
      <c r="AH13" s="372"/>
      <c r="AI13" s="372"/>
    </row>
    <row r="14" spans="1:35" s="346" customFormat="1" ht="18.5">
      <c r="A14" s="346" t="s">
        <v>170</v>
      </c>
      <c r="B14" s="355">
        <v>11.27</v>
      </c>
      <c r="C14" s="201">
        <f t="shared" si="2"/>
        <v>6.0601577909270361</v>
      </c>
      <c r="D14" s="356">
        <f t="shared" si="3"/>
        <v>4</v>
      </c>
      <c r="E14" s="357"/>
      <c r="F14" s="358">
        <v>0.27800000000000002</v>
      </c>
      <c r="G14" s="359">
        <v>3.92</v>
      </c>
      <c r="H14" s="360">
        <f t="shared" si="4"/>
        <v>14.100719424460429</v>
      </c>
      <c r="I14" s="361">
        <f t="shared" si="5"/>
        <v>0</v>
      </c>
      <c r="J14" s="356">
        <f t="shared" si="0"/>
        <v>5</v>
      </c>
      <c r="K14" s="362">
        <f t="shared" si="1"/>
        <v>6.0601577909270361</v>
      </c>
      <c r="L14" s="363" t="s">
        <v>297</v>
      </c>
      <c r="M14" s="364"/>
      <c r="N14" s="365"/>
      <c r="O14" s="365"/>
      <c r="P14" s="374"/>
      <c r="Q14" s="367"/>
      <c r="R14" s="367"/>
      <c r="S14" s="367"/>
      <c r="T14" s="367"/>
      <c r="U14" s="367"/>
      <c r="V14" s="367"/>
      <c r="W14" s="367"/>
      <c r="X14" s="367"/>
      <c r="Y14" s="367"/>
      <c r="Z14" s="368"/>
      <c r="AA14" s="369"/>
      <c r="AB14" s="370"/>
      <c r="AC14" s="371"/>
      <c r="AH14" s="372"/>
      <c r="AI14" s="372"/>
    </row>
    <row r="15" spans="1:35" s="346" customFormat="1" ht="18.5">
      <c r="A15" s="346" t="s">
        <v>166</v>
      </c>
      <c r="B15" s="355" t="s">
        <v>293</v>
      </c>
      <c r="C15" s="201">
        <v>2.5</v>
      </c>
      <c r="D15" s="356"/>
      <c r="E15" s="385"/>
      <c r="F15" s="358"/>
      <c r="G15" s="359"/>
      <c r="H15" s="360"/>
      <c r="I15" s="361"/>
      <c r="J15" s="356">
        <f t="shared" si="0"/>
        <v>5</v>
      </c>
      <c r="K15" s="362">
        <f t="shared" si="1"/>
        <v>2.5</v>
      </c>
      <c r="L15" s="363" t="s">
        <v>298</v>
      </c>
      <c r="M15" s="364"/>
      <c r="N15" s="365"/>
      <c r="O15" s="365"/>
      <c r="P15" s="374"/>
      <c r="Q15" s="367"/>
      <c r="R15" s="367"/>
      <c r="S15" s="367"/>
      <c r="T15" s="367"/>
      <c r="U15" s="367"/>
      <c r="V15" s="367"/>
      <c r="W15" s="367"/>
      <c r="X15" s="367"/>
      <c r="Y15" s="367"/>
      <c r="Z15" s="368"/>
      <c r="AA15" s="369"/>
      <c r="AB15" s="370"/>
      <c r="AC15" s="371"/>
      <c r="AH15" s="372"/>
      <c r="AI15" s="372"/>
    </row>
    <row r="16" spans="1:35" s="392" customFormat="1" ht="18.5">
      <c r="A16" s="346" t="s">
        <v>165</v>
      </c>
      <c r="B16" s="355" t="s">
        <v>293</v>
      </c>
      <c r="C16" s="201">
        <v>2.5</v>
      </c>
      <c r="D16" s="356"/>
      <c r="E16" s="357"/>
      <c r="F16" s="386"/>
      <c r="G16" s="387"/>
      <c r="H16" s="360"/>
      <c r="I16" s="361"/>
      <c r="J16" s="356">
        <f t="shared" si="0"/>
        <v>5</v>
      </c>
      <c r="K16" s="362">
        <f t="shared" ref="K16:K19" si="6">C16+I16</f>
        <v>2.5</v>
      </c>
      <c r="L16" s="363" t="s">
        <v>299</v>
      </c>
      <c r="M16" s="388"/>
      <c r="N16" s="389"/>
      <c r="O16" s="389"/>
      <c r="P16" s="390"/>
      <c r="Q16" s="390"/>
      <c r="R16" s="390"/>
      <c r="S16" s="390"/>
      <c r="T16" s="390"/>
      <c r="U16" s="390"/>
      <c r="V16" s="390"/>
      <c r="W16" s="390"/>
      <c r="X16" s="390"/>
      <c r="Y16" s="390"/>
      <c r="Z16" s="391"/>
      <c r="AB16" s="393"/>
      <c r="AC16" s="393"/>
      <c r="AH16" s="394"/>
      <c r="AI16" s="394"/>
    </row>
    <row r="17" spans="1:35" s="392" customFormat="1" ht="18.5">
      <c r="A17" s="346" t="s">
        <v>172</v>
      </c>
      <c r="B17" s="355" t="s">
        <v>293</v>
      </c>
      <c r="C17" s="201"/>
      <c r="D17" s="356"/>
      <c r="E17" s="357"/>
      <c r="F17" s="386"/>
      <c r="G17" s="387"/>
      <c r="H17" s="360"/>
      <c r="I17" s="361"/>
      <c r="J17" s="356">
        <f t="shared" si="0"/>
        <v>5</v>
      </c>
      <c r="K17" s="362">
        <f t="shared" si="6"/>
        <v>0</v>
      </c>
      <c r="L17" s="363" t="s">
        <v>293</v>
      </c>
      <c r="M17" s="388"/>
      <c r="N17" s="389"/>
      <c r="O17" s="389"/>
      <c r="P17" s="390"/>
      <c r="Q17" s="390"/>
      <c r="R17" s="390"/>
      <c r="S17" s="390"/>
      <c r="T17" s="390"/>
      <c r="U17" s="390"/>
      <c r="V17" s="390"/>
      <c r="W17" s="390"/>
      <c r="X17" s="390"/>
      <c r="Y17" s="390"/>
      <c r="Z17" s="391"/>
      <c r="AB17" s="393"/>
      <c r="AC17" s="393"/>
      <c r="AH17" s="394"/>
      <c r="AI17" s="394"/>
    </row>
    <row r="18" spans="1:35" s="346" customFormat="1" ht="18.5">
      <c r="A18" s="346" t="s">
        <v>210</v>
      </c>
      <c r="B18" s="355">
        <v>11.65</v>
      </c>
      <c r="C18" s="201">
        <f t="shared" ref="C18" si="7">$B$21*B18+$B$22</f>
        <v>2.5</v>
      </c>
      <c r="D18" s="356">
        <f t="shared" ref="D18" si="8">RANK(C18,$C$6:$C$18)</f>
        <v>5</v>
      </c>
      <c r="E18" s="357"/>
      <c r="F18" s="358">
        <v>0.193</v>
      </c>
      <c r="G18" s="359">
        <v>3.93</v>
      </c>
      <c r="H18" s="360">
        <f t="shared" ref="H18" si="9">G18/F18</f>
        <v>20.362694300518136</v>
      </c>
      <c r="I18" s="361">
        <f t="shared" ref="I18" si="10">$F$21*H18+$F$22</f>
        <v>50</v>
      </c>
      <c r="J18" s="356">
        <f t="shared" si="0"/>
        <v>1</v>
      </c>
      <c r="K18" s="362">
        <f t="shared" si="6"/>
        <v>52.5</v>
      </c>
      <c r="L18" s="395" t="s">
        <v>300</v>
      </c>
      <c r="M18" s="396"/>
      <c r="N18" s="396"/>
      <c r="O18" s="396"/>
      <c r="P18" s="397"/>
      <c r="Q18" s="398"/>
      <c r="R18" s="398"/>
      <c r="S18" s="398"/>
      <c r="T18" s="398"/>
      <c r="U18" s="398"/>
      <c r="V18" s="398"/>
      <c r="W18" s="398"/>
      <c r="X18" s="398"/>
      <c r="Y18" s="398"/>
      <c r="Z18" s="399"/>
      <c r="AA18" s="400"/>
      <c r="AB18" s="401"/>
      <c r="AC18" s="350"/>
      <c r="AD18" s="402"/>
      <c r="AE18" s="402"/>
      <c r="AF18" s="402"/>
      <c r="AG18" s="402"/>
      <c r="AH18" s="372"/>
      <c r="AI18" s="372"/>
    </row>
    <row r="19" spans="1:35" s="346" customFormat="1" ht="18.5">
      <c r="A19" s="346" t="s">
        <v>169</v>
      </c>
      <c r="B19" s="479" t="s">
        <v>293</v>
      </c>
      <c r="C19" s="201"/>
      <c r="D19" s="356"/>
      <c r="E19" s="403"/>
      <c r="F19" s="403"/>
      <c r="G19" s="403"/>
      <c r="H19" s="360"/>
      <c r="I19" s="361"/>
      <c r="J19" s="356">
        <f t="shared" si="0"/>
        <v>5</v>
      </c>
      <c r="K19" s="362">
        <f t="shared" si="6"/>
        <v>0</v>
      </c>
      <c r="L19" s="480" t="s">
        <v>293</v>
      </c>
      <c r="M19" s="404"/>
      <c r="N19" s="405"/>
      <c r="O19" s="406"/>
      <c r="P19" s="407"/>
      <c r="Q19" s="407"/>
      <c r="R19" s="407"/>
      <c r="S19" s="407"/>
      <c r="T19" s="407"/>
      <c r="U19" s="407"/>
      <c r="V19" s="407"/>
      <c r="W19" s="407"/>
      <c r="X19" s="407"/>
      <c r="Y19" s="407"/>
      <c r="Z19" s="408"/>
      <c r="AA19" s="401"/>
      <c r="AB19" s="409"/>
      <c r="AC19" s="350"/>
      <c r="AD19" s="402"/>
      <c r="AE19" s="402"/>
      <c r="AF19" s="402"/>
      <c r="AG19" s="402"/>
      <c r="AH19" s="372"/>
      <c r="AI19" s="372"/>
    </row>
    <row r="20" spans="1:35" s="239" customFormat="1" ht="18">
      <c r="A20" s="410"/>
      <c r="B20" s="411"/>
      <c r="C20" s="411"/>
      <c r="D20" s="411"/>
      <c r="E20" s="411"/>
      <c r="F20" s="411"/>
      <c r="G20" s="411"/>
      <c r="H20" s="411"/>
      <c r="I20" s="411"/>
      <c r="J20" s="411"/>
      <c r="K20" s="412"/>
      <c r="L20" s="411"/>
      <c r="M20" s="413"/>
      <c r="N20" s="414"/>
      <c r="O20" s="415"/>
      <c r="P20" s="416"/>
      <c r="Q20" s="416"/>
      <c r="R20" s="416"/>
      <c r="S20" s="416"/>
      <c r="T20" s="416"/>
      <c r="U20" s="416"/>
      <c r="V20" s="416"/>
      <c r="W20" s="416"/>
      <c r="X20" s="416"/>
      <c r="Y20" s="416"/>
      <c r="Z20" s="417"/>
      <c r="AA20" s="418"/>
      <c r="AB20" s="419"/>
      <c r="AC20" s="420"/>
      <c r="AD20" s="421"/>
      <c r="AE20" s="421"/>
      <c r="AF20" s="421"/>
      <c r="AG20" s="421"/>
      <c r="AH20" s="422"/>
      <c r="AI20" s="422"/>
    </row>
    <row r="21" spans="1:35" ht="14">
      <c r="A21" s="292"/>
      <c r="B21" s="274">
        <f>(50-2.5)/(F1-F2)</f>
        <v>-9.3688362919132153</v>
      </c>
      <c r="D21" s="284"/>
      <c r="E21" s="282"/>
      <c r="F21" s="298">
        <f>(50)/(J2-J1)</f>
        <v>7.9847014703256098</v>
      </c>
      <c r="G21" s="282"/>
      <c r="H21" s="275"/>
      <c r="I21" s="282"/>
      <c r="J21" s="282"/>
      <c r="K21" s="290"/>
      <c r="L21" s="282"/>
      <c r="M21" s="74"/>
      <c r="N21" s="75"/>
      <c r="O21" s="72"/>
      <c r="P21" s="81"/>
      <c r="Q21" s="81"/>
      <c r="R21" s="81"/>
      <c r="S21" s="81"/>
      <c r="T21" s="81"/>
      <c r="U21" s="81"/>
      <c r="V21" s="81"/>
      <c r="W21" s="81"/>
      <c r="X21" s="81"/>
      <c r="Y21" s="81"/>
      <c r="Z21" s="76"/>
      <c r="AA21" s="83"/>
      <c r="AB21" s="82"/>
    </row>
    <row r="22" spans="1:35" ht="14">
      <c r="A22" s="293"/>
      <c r="B22" s="274">
        <f>2.5-(B21*F2)</f>
        <v>111.64694280078896</v>
      </c>
      <c r="D22" s="285" t="s">
        <v>41</v>
      </c>
      <c r="E22" s="282"/>
      <c r="F22" s="293">
        <f>-(F21*J1)</f>
        <v>-112.59003512113807</v>
      </c>
      <c r="G22" s="282"/>
      <c r="H22" s="275"/>
      <c r="I22" s="282"/>
      <c r="J22" s="282"/>
      <c r="K22" s="290"/>
      <c r="L22" s="282"/>
      <c r="M22" s="74"/>
      <c r="N22" s="75"/>
      <c r="O22" s="72"/>
      <c r="P22" s="81"/>
      <c r="Q22" s="81"/>
      <c r="R22" s="81"/>
      <c r="S22" s="81"/>
      <c r="T22" s="81"/>
      <c r="U22" s="81"/>
      <c r="V22" s="81"/>
      <c r="W22" s="81"/>
      <c r="X22" s="81"/>
      <c r="Y22" s="81"/>
      <c r="Z22" s="76"/>
      <c r="AA22" s="83"/>
      <c r="AB22" s="82"/>
    </row>
    <row r="23" spans="1:35" ht="14">
      <c r="A23" s="65" t="s">
        <v>41</v>
      </c>
      <c r="B23" s="66"/>
      <c r="C23" s="107"/>
      <c r="D23" s="107"/>
      <c r="E23" s="66"/>
      <c r="F23" s="66"/>
      <c r="G23" s="66"/>
      <c r="H23" s="66"/>
      <c r="I23" s="66"/>
      <c r="J23" s="66"/>
      <c r="K23" s="144"/>
      <c r="L23" s="66"/>
      <c r="M23" s="66"/>
      <c r="N23" s="75"/>
      <c r="O23" s="72"/>
      <c r="P23" s="66"/>
      <c r="Q23" s="66"/>
      <c r="R23" s="66"/>
      <c r="S23" s="66"/>
      <c r="T23" s="66"/>
      <c r="U23" s="66"/>
      <c r="V23" s="66"/>
      <c r="W23" s="66"/>
      <c r="X23" s="66"/>
      <c r="Y23" s="66"/>
      <c r="Z23" s="76"/>
      <c r="AA23" s="83"/>
      <c r="AB23" s="82"/>
    </row>
    <row r="24" spans="1:35" ht="13">
      <c r="A24" s="65"/>
      <c r="B24" s="74"/>
      <c r="C24" s="74" t="s">
        <v>41</v>
      </c>
      <c r="D24" s="108" t="s">
        <v>41</v>
      </c>
      <c r="E24" s="74"/>
      <c r="F24" s="74"/>
      <c r="G24" s="74"/>
      <c r="H24" s="74"/>
      <c r="I24" s="74"/>
      <c r="J24" s="74"/>
      <c r="K24" s="144"/>
      <c r="L24" s="74"/>
      <c r="M24" s="74"/>
      <c r="N24" s="75"/>
      <c r="O24" s="72"/>
      <c r="P24" s="81"/>
      <c r="Q24" s="81"/>
      <c r="R24" s="81"/>
      <c r="S24" s="81"/>
      <c r="T24" s="81"/>
      <c r="U24" s="81"/>
      <c r="V24" s="81"/>
      <c r="W24" s="81"/>
      <c r="X24" s="81"/>
      <c r="Y24" s="81"/>
      <c r="Z24" s="76"/>
      <c r="AA24" s="83"/>
      <c r="AB24" s="82"/>
    </row>
    <row r="25" spans="1:35" ht="13">
      <c r="A25" s="65"/>
      <c r="B25" s="74"/>
      <c r="C25" s="74" t="s">
        <v>71</v>
      </c>
      <c r="D25" s="74"/>
      <c r="E25" s="74"/>
      <c r="F25" s="74"/>
      <c r="G25" s="74"/>
      <c r="H25" s="74"/>
      <c r="I25" s="74"/>
      <c r="J25" s="74"/>
      <c r="K25" s="144"/>
      <c r="L25" s="74"/>
      <c r="M25" s="74"/>
      <c r="N25" s="75"/>
      <c r="O25" s="72"/>
      <c r="P25" s="81"/>
      <c r="Q25" s="81"/>
      <c r="R25" s="81"/>
      <c r="S25" s="81"/>
      <c r="T25" s="81"/>
      <c r="U25" s="81"/>
      <c r="V25" s="81"/>
      <c r="W25" s="81"/>
      <c r="X25" s="81"/>
      <c r="Y25" s="81"/>
      <c r="Z25" s="76"/>
      <c r="AA25" s="83"/>
      <c r="AB25" s="82"/>
    </row>
    <row r="26" spans="1:35" ht="13">
      <c r="A26" s="65"/>
      <c r="B26" s="66"/>
      <c r="C26" s="66"/>
      <c r="D26" s="66"/>
      <c r="E26" s="66"/>
      <c r="F26" s="66"/>
      <c r="G26" s="66"/>
      <c r="H26" s="66"/>
      <c r="I26" s="66"/>
      <c r="J26" s="66"/>
      <c r="K26" s="144"/>
      <c r="L26" s="66"/>
      <c r="M26" s="66"/>
      <c r="N26" s="75"/>
      <c r="O26" s="72"/>
      <c r="P26" s="66"/>
      <c r="Q26" s="66"/>
      <c r="R26" s="66"/>
      <c r="S26" s="66"/>
      <c r="T26" s="66"/>
      <c r="U26" s="66"/>
      <c r="V26" s="66"/>
      <c r="W26" s="66"/>
      <c r="X26" s="66"/>
      <c r="Y26" s="66"/>
      <c r="Z26" s="76"/>
      <c r="AA26" s="83"/>
      <c r="AB26" s="82"/>
    </row>
    <row r="27" spans="1:35" ht="13">
      <c r="A27" s="65"/>
      <c r="B27" s="66"/>
      <c r="C27" s="66"/>
      <c r="D27" s="66"/>
      <c r="E27" s="66"/>
      <c r="F27" s="66"/>
      <c r="G27" s="66"/>
      <c r="H27" s="66"/>
      <c r="I27" s="66"/>
      <c r="J27" s="66"/>
      <c r="K27" s="144"/>
      <c r="L27" s="66"/>
      <c r="M27" s="66"/>
      <c r="N27" s="75"/>
      <c r="O27" s="72"/>
      <c r="P27" s="66"/>
      <c r="Q27" s="66"/>
      <c r="R27" s="66"/>
      <c r="S27" s="66"/>
      <c r="T27" s="66"/>
      <c r="U27" s="66"/>
      <c r="V27" s="66"/>
      <c r="W27" s="66"/>
      <c r="X27" s="66"/>
      <c r="Y27" s="66"/>
      <c r="Z27" s="76"/>
      <c r="AA27" s="83"/>
      <c r="AB27" s="82"/>
    </row>
    <row r="28" spans="1:35" ht="13">
      <c r="A28" s="65"/>
      <c r="B28" s="74"/>
      <c r="C28" s="74"/>
      <c r="D28" s="74"/>
      <c r="E28" s="74"/>
      <c r="F28" s="74"/>
      <c r="G28" s="74"/>
      <c r="H28" s="74"/>
      <c r="I28" s="74"/>
      <c r="J28" s="74"/>
      <c r="K28" s="144"/>
      <c r="L28" s="74"/>
      <c r="M28" s="74"/>
      <c r="N28" s="75"/>
      <c r="O28" s="72"/>
      <c r="P28" s="81"/>
      <c r="Q28" s="81"/>
      <c r="R28" s="81"/>
      <c r="S28" s="81"/>
      <c r="T28" s="81"/>
      <c r="U28" s="81"/>
      <c r="V28" s="81"/>
      <c r="W28" s="81"/>
      <c r="X28" s="81"/>
      <c r="Y28" s="81"/>
      <c r="Z28" s="76"/>
      <c r="AA28" s="83"/>
      <c r="AB28" s="82"/>
    </row>
    <row r="29" spans="1:35" ht="13">
      <c r="A29" s="65"/>
      <c r="B29" s="74"/>
      <c r="C29" s="74"/>
      <c r="D29" s="74"/>
      <c r="E29" s="74"/>
      <c r="F29" s="74"/>
      <c r="G29" s="74"/>
      <c r="H29" s="74"/>
      <c r="I29" s="74"/>
      <c r="J29" s="74"/>
      <c r="K29" s="144"/>
      <c r="L29" s="74"/>
      <c r="M29" s="74"/>
      <c r="N29" s="75"/>
      <c r="O29" s="72"/>
      <c r="P29" s="81"/>
      <c r="Q29" s="81"/>
      <c r="R29" s="81"/>
      <c r="S29" s="81"/>
      <c r="T29" s="81"/>
      <c r="U29" s="81"/>
      <c r="V29" s="81"/>
      <c r="W29" s="81"/>
      <c r="X29" s="81"/>
      <c r="Y29" s="81"/>
      <c r="Z29" s="76"/>
      <c r="AA29" s="83"/>
      <c r="AB29" s="82"/>
    </row>
    <row r="30" spans="1:35" ht="13">
      <c r="A30" s="65"/>
      <c r="B30" s="66"/>
      <c r="C30" s="66"/>
      <c r="D30" s="66"/>
      <c r="E30" s="66"/>
      <c r="F30" s="66"/>
      <c r="G30" s="66"/>
      <c r="H30" s="66"/>
      <c r="I30" s="66"/>
      <c r="J30" s="66"/>
      <c r="K30" s="144"/>
      <c r="L30" s="66"/>
      <c r="M30" s="66"/>
      <c r="N30" s="75"/>
      <c r="O30" s="72"/>
      <c r="P30" s="66"/>
      <c r="Q30" s="66"/>
      <c r="R30" s="66"/>
      <c r="S30" s="66"/>
      <c r="T30" s="66"/>
      <c r="U30" s="66"/>
      <c r="V30" s="66"/>
      <c r="W30" s="66"/>
      <c r="X30" s="66"/>
      <c r="Y30" s="66"/>
      <c r="Z30" s="76"/>
      <c r="AA30" s="83"/>
      <c r="AB30" s="82"/>
    </row>
    <row r="31" spans="1:35" ht="13">
      <c r="A31" s="65"/>
      <c r="B31" s="84"/>
      <c r="C31" s="74"/>
      <c r="D31" s="74"/>
      <c r="E31" s="74"/>
      <c r="F31" s="74"/>
      <c r="G31" s="74"/>
      <c r="H31" s="74"/>
      <c r="I31" s="74"/>
      <c r="J31" s="74"/>
      <c r="K31" s="144"/>
      <c r="L31" s="74"/>
      <c r="M31" s="74"/>
      <c r="N31" s="75"/>
      <c r="O31" s="72"/>
      <c r="P31" s="81"/>
      <c r="Q31" s="81"/>
      <c r="R31" s="81"/>
      <c r="S31" s="81"/>
      <c r="T31" s="81"/>
      <c r="U31" s="81"/>
      <c r="V31" s="81"/>
      <c r="W31" s="81"/>
      <c r="X31" s="81"/>
      <c r="Y31" s="81"/>
      <c r="Z31" s="76"/>
      <c r="AA31" s="83"/>
      <c r="AB31" s="82"/>
    </row>
    <row r="32" spans="1:35" ht="13">
      <c r="A32" s="65"/>
      <c r="B32" s="74"/>
      <c r="C32" s="74"/>
      <c r="D32" s="74"/>
      <c r="E32" s="74"/>
      <c r="F32" s="74"/>
      <c r="G32" s="74"/>
      <c r="H32" s="74"/>
      <c r="I32" s="74"/>
      <c r="J32" s="74"/>
      <c r="K32" s="144"/>
      <c r="L32" s="74"/>
      <c r="M32" s="74"/>
      <c r="N32" s="76"/>
      <c r="O32" s="72"/>
      <c r="P32" s="81"/>
      <c r="Q32" s="81"/>
      <c r="R32" s="81"/>
      <c r="S32" s="81"/>
      <c r="T32" s="81"/>
      <c r="U32" s="81"/>
      <c r="V32" s="81"/>
      <c r="W32" s="81"/>
      <c r="X32" s="81"/>
      <c r="Y32" s="81"/>
      <c r="Z32" s="76"/>
      <c r="AA32" s="83"/>
      <c r="AB32" s="64"/>
    </row>
    <row r="33" spans="1:28" ht="13">
      <c r="A33" s="65"/>
      <c r="B33" s="66"/>
      <c r="C33" s="66"/>
      <c r="D33" s="105"/>
      <c r="E33" s="52"/>
      <c r="F33" s="52"/>
      <c r="G33" s="66"/>
      <c r="H33" s="66"/>
      <c r="I33" s="66"/>
      <c r="J33" s="66"/>
      <c r="K33" s="144"/>
      <c r="L33" s="66"/>
      <c r="M33" s="66"/>
      <c r="N33" s="75"/>
      <c r="O33" s="72"/>
      <c r="P33" s="66"/>
      <c r="Q33" s="66"/>
      <c r="R33" s="66"/>
      <c r="S33" s="66"/>
      <c r="T33" s="66"/>
      <c r="U33" s="66"/>
      <c r="V33" s="66"/>
      <c r="W33" s="66"/>
      <c r="X33" s="66"/>
      <c r="Y33" s="66"/>
      <c r="Z33" s="76"/>
      <c r="AA33" s="83"/>
      <c r="AB33" s="82"/>
    </row>
    <row r="34" spans="1:28" ht="13">
      <c r="A34" s="65"/>
      <c r="B34" s="74"/>
      <c r="C34" s="74"/>
      <c r="D34" s="52"/>
      <c r="E34" s="52"/>
      <c r="F34" s="104"/>
      <c r="G34" s="103"/>
      <c r="H34" s="103"/>
      <c r="I34" s="103"/>
      <c r="J34" s="74"/>
      <c r="K34" s="144"/>
      <c r="L34" s="74"/>
      <c r="M34" s="74"/>
      <c r="N34" s="75"/>
      <c r="O34" s="72"/>
      <c r="P34" s="81"/>
      <c r="Q34" s="81"/>
      <c r="R34" s="81"/>
      <c r="S34" s="81"/>
      <c r="T34" s="81"/>
      <c r="U34" s="81"/>
      <c r="V34" s="81"/>
      <c r="W34" s="81"/>
      <c r="X34" s="81"/>
      <c r="Y34" s="81"/>
      <c r="Z34" s="76"/>
      <c r="AA34" s="83"/>
      <c r="AB34" s="82"/>
    </row>
    <row r="35" spans="1:28" ht="13">
      <c r="A35" s="65"/>
      <c r="B35" s="74"/>
      <c r="C35" s="66"/>
      <c r="D35" s="52"/>
      <c r="E35" s="52"/>
      <c r="F35" s="52"/>
      <c r="G35" s="66"/>
      <c r="H35" s="66"/>
      <c r="I35" s="66"/>
      <c r="J35" s="66"/>
      <c r="K35" s="144"/>
      <c r="L35" s="66"/>
      <c r="M35" s="66"/>
      <c r="N35" s="75"/>
      <c r="O35" s="66"/>
      <c r="P35" s="66"/>
      <c r="Q35" s="66"/>
      <c r="R35" s="66"/>
      <c r="S35" s="66"/>
      <c r="T35" s="66"/>
      <c r="U35" s="66"/>
      <c r="V35" s="66"/>
      <c r="W35" s="66"/>
      <c r="X35" s="66"/>
      <c r="Y35" s="66"/>
      <c r="Z35" s="76"/>
      <c r="AA35" s="83"/>
      <c r="AB35" s="82"/>
    </row>
    <row r="36" spans="1:28">
      <c r="A36" s="59"/>
      <c r="B36" s="66"/>
      <c r="C36" s="66"/>
      <c r="D36" s="66"/>
      <c r="E36" s="66"/>
      <c r="F36" s="66"/>
      <c r="G36" s="66"/>
      <c r="H36" s="66"/>
      <c r="I36" s="66"/>
      <c r="J36" s="66"/>
      <c r="K36" s="144"/>
      <c r="L36" s="66"/>
      <c r="M36" s="66"/>
      <c r="N36" s="66"/>
      <c r="O36" s="66"/>
      <c r="P36" s="66"/>
      <c r="Q36" s="66"/>
      <c r="R36" s="66"/>
      <c r="S36" s="66"/>
      <c r="T36" s="66"/>
      <c r="U36" s="66"/>
      <c r="V36" s="66"/>
      <c r="W36" s="66"/>
      <c r="X36" s="66"/>
      <c r="Y36" s="66"/>
      <c r="Z36" s="66"/>
      <c r="AA36" s="83"/>
      <c r="AB36" s="64"/>
    </row>
    <row r="37" spans="1:28">
      <c r="A37" s="59"/>
      <c r="B37" s="66"/>
      <c r="C37" s="66"/>
      <c r="D37" s="66"/>
      <c r="E37" s="66"/>
      <c r="F37" s="66"/>
      <c r="G37" s="66"/>
      <c r="H37" s="66"/>
      <c r="I37" s="66"/>
      <c r="J37" s="66"/>
      <c r="K37" s="144"/>
      <c r="L37" s="66"/>
      <c r="M37" s="66"/>
      <c r="N37" s="66"/>
      <c r="O37" s="66"/>
      <c r="P37" s="66"/>
      <c r="Q37" s="66"/>
      <c r="R37" s="66"/>
      <c r="S37" s="66"/>
      <c r="T37" s="66"/>
      <c r="U37" s="66"/>
      <c r="V37" s="66"/>
      <c r="W37" s="66"/>
      <c r="X37" s="66"/>
      <c r="Y37" s="66"/>
      <c r="Z37" s="66"/>
      <c r="AA37" s="83"/>
      <c r="AB37" s="64"/>
    </row>
    <row r="38" spans="1:28" ht="13">
      <c r="A38" s="59"/>
      <c r="B38" s="68"/>
      <c r="C38" s="68"/>
      <c r="D38" s="68"/>
      <c r="E38" s="68"/>
      <c r="F38" s="68"/>
      <c r="G38" s="68"/>
      <c r="H38" s="68"/>
      <c r="I38" s="68"/>
      <c r="J38" s="68"/>
      <c r="K38" s="145"/>
      <c r="L38" s="68"/>
      <c r="M38" s="68"/>
      <c r="N38" s="68"/>
      <c r="O38" s="66"/>
      <c r="P38" s="68"/>
      <c r="Q38" s="68"/>
      <c r="R38" s="68"/>
      <c r="S38" s="68"/>
      <c r="T38" s="68"/>
      <c r="U38" s="68"/>
      <c r="V38" s="68"/>
      <c r="W38" s="68"/>
      <c r="X38" s="68"/>
      <c r="Y38" s="68"/>
      <c r="Z38" s="68"/>
      <c r="AA38" s="83"/>
      <c r="AB38" s="64"/>
    </row>
    <row r="39" spans="1:28" ht="13">
      <c r="A39" s="78"/>
      <c r="B39" s="66"/>
      <c r="C39" s="66"/>
      <c r="D39" s="66"/>
      <c r="E39" s="66"/>
      <c r="F39" s="66"/>
      <c r="G39" s="66"/>
      <c r="H39" s="66"/>
      <c r="I39" s="66"/>
      <c r="J39" s="66"/>
      <c r="K39" s="144"/>
      <c r="L39" s="66"/>
      <c r="M39" s="66"/>
      <c r="N39" s="75"/>
      <c r="O39" s="72"/>
      <c r="P39" s="66"/>
      <c r="Q39" s="66"/>
      <c r="R39" s="66"/>
      <c r="S39" s="66"/>
      <c r="T39" s="66"/>
      <c r="U39" s="66"/>
      <c r="V39" s="66"/>
      <c r="W39" s="66"/>
      <c r="X39" s="66"/>
      <c r="Y39" s="66"/>
      <c r="Z39" s="76"/>
      <c r="AA39" s="83"/>
      <c r="AB39" s="82"/>
    </row>
    <row r="40" spans="1:28" ht="13">
      <c r="A40" s="65"/>
      <c r="B40" s="66"/>
      <c r="C40" s="66"/>
      <c r="D40" s="66"/>
      <c r="E40" s="66"/>
      <c r="F40" s="66"/>
      <c r="G40" s="66"/>
      <c r="H40" s="66"/>
      <c r="I40" s="66"/>
      <c r="J40" s="66"/>
      <c r="K40" s="144"/>
      <c r="L40" s="66"/>
      <c r="M40" s="66"/>
      <c r="N40" s="75"/>
      <c r="O40" s="72"/>
      <c r="P40" s="66"/>
      <c r="Q40" s="66"/>
      <c r="R40" s="66"/>
      <c r="S40" s="66"/>
      <c r="T40" s="66"/>
      <c r="U40" s="66"/>
      <c r="V40" s="66"/>
      <c r="W40" s="66"/>
      <c r="X40" s="66"/>
      <c r="Y40" s="66"/>
      <c r="Z40" s="76"/>
      <c r="AA40" s="83"/>
      <c r="AB40" s="82"/>
    </row>
    <row r="41" spans="1:28" ht="13">
      <c r="A41" s="65"/>
      <c r="B41" s="66"/>
      <c r="C41" s="66"/>
      <c r="D41" s="66"/>
      <c r="E41" s="66"/>
      <c r="F41" s="66"/>
      <c r="G41" s="66"/>
      <c r="H41" s="66"/>
      <c r="I41" s="66"/>
      <c r="J41" s="66"/>
      <c r="K41" s="144"/>
      <c r="L41" s="66"/>
      <c r="M41" s="66"/>
      <c r="N41" s="75"/>
      <c r="O41" s="72"/>
      <c r="P41" s="66"/>
      <c r="Q41" s="66"/>
      <c r="R41" s="66"/>
      <c r="S41" s="66"/>
      <c r="T41" s="66"/>
      <c r="U41" s="66"/>
      <c r="V41" s="66"/>
      <c r="W41" s="66"/>
      <c r="X41" s="66"/>
      <c r="Y41" s="66"/>
      <c r="Z41" s="76"/>
      <c r="AA41" s="83"/>
      <c r="AB41" s="82"/>
    </row>
    <row r="42" spans="1:28" ht="13">
      <c r="A42" s="65"/>
      <c r="B42" s="66"/>
      <c r="C42" s="66"/>
      <c r="D42" s="66"/>
      <c r="E42" s="66"/>
      <c r="F42" s="66"/>
      <c r="G42" s="66"/>
      <c r="H42" s="66"/>
      <c r="I42" s="66"/>
      <c r="J42" s="66"/>
      <c r="K42" s="144"/>
      <c r="L42" s="66"/>
      <c r="M42" s="66"/>
      <c r="N42" s="75"/>
      <c r="O42" s="72"/>
      <c r="P42" s="66"/>
      <c r="Q42" s="66"/>
      <c r="R42" s="66"/>
      <c r="S42" s="66"/>
      <c r="T42" s="66"/>
      <c r="U42" s="66"/>
      <c r="V42" s="66"/>
      <c r="W42" s="66"/>
      <c r="X42" s="66"/>
      <c r="Y42" s="66"/>
      <c r="Z42" s="76"/>
      <c r="AA42" s="83"/>
      <c r="AB42" s="82"/>
    </row>
    <row r="43" spans="1:28" ht="13">
      <c r="A43" s="65"/>
      <c r="B43" s="66"/>
      <c r="C43" s="66"/>
      <c r="D43" s="66"/>
      <c r="E43" s="66"/>
      <c r="F43" s="66"/>
      <c r="G43" s="66"/>
      <c r="H43" s="66"/>
      <c r="I43" s="66"/>
      <c r="J43" s="66"/>
      <c r="K43" s="144"/>
      <c r="L43" s="66"/>
      <c r="M43" s="66"/>
      <c r="N43" s="75"/>
      <c r="O43" s="72"/>
      <c r="P43" s="66"/>
      <c r="Q43" s="66"/>
      <c r="R43" s="66"/>
      <c r="S43" s="66"/>
      <c r="T43" s="66"/>
      <c r="U43" s="66"/>
      <c r="V43" s="66"/>
      <c r="W43" s="66"/>
      <c r="X43" s="66"/>
      <c r="Y43" s="66"/>
      <c r="Z43" s="76"/>
      <c r="AA43" s="83"/>
      <c r="AB43" s="82"/>
    </row>
    <row r="44" spans="1:28" ht="13">
      <c r="A44" s="65"/>
      <c r="B44" s="66"/>
      <c r="C44" s="66"/>
      <c r="D44" s="66"/>
      <c r="E44" s="66"/>
      <c r="F44" s="66"/>
      <c r="G44" s="66"/>
      <c r="H44" s="66"/>
      <c r="I44" s="66"/>
      <c r="J44" s="66"/>
      <c r="K44" s="144"/>
      <c r="L44" s="66"/>
      <c r="M44" s="66"/>
      <c r="N44" s="75"/>
      <c r="O44" s="72"/>
      <c r="P44" s="66"/>
      <c r="Q44" s="66"/>
      <c r="R44" s="66"/>
      <c r="S44" s="66"/>
      <c r="T44" s="66"/>
      <c r="U44" s="66"/>
      <c r="V44" s="66"/>
      <c r="W44" s="66"/>
      <c r="X44" s="66"/>
      <c r="Y44" s="66"/>
      <c r="Z44" s="76"/>
      <c r="AA44" s="83"/>
      <c r="AB44" s="82"/>
    </row>
    <row r="45" spans="1:28" ht="13">
      <c r="A45" s="65"/>
      <c r="B45" s="66"/>
      <c r="C45" s="66"/>
      <c r="D45" s="66"/>
      <c r="E45" s="66"/>
      <c r="F45" s="66"/>
      <c r="G45" s="66"/>
      <c r="H45" s="66"/>
      <c r="I45" s="66"/>
      <c r="J45" s="66"/>
      <c r="K45" s="144"/>
      <c r="L45" s="66"/>
      <c r="M45" s="66"/>
      <c r="N45" s="75"/>
      <c r="O45" s="72"/>
      <c r="P45" s="66"/>
      <c r="Q45" s="66"/>
      <c r="R45" s="66"/>
      <c r="S45" s="66"/>
      <c r="T45" s="66"/>
      <c r="U45" s="66"/>
      <c r="V45" s="66"/>
      <c r="W45" s="66"/>
      <c r="X45" s="66"/>
      <c r="Y45" s="66"/>
      <c r="Z45" s="76"/>
      <c r="AA45" s="83"/>
      <c r="AB45" s="82"/>
    </row>
    <row r="46" spans="1:28" ht="13">
      <c r="A46" s="65"/>
      <c r="B46" s="66"/>
      <c r="C46" s="66"/>
      <c r="D46" s="66"/>
      <c r="E46" s="66"/>
      <c r="F46" s="66"/>
      <c r="G46" s="66"/>
      <c r="H46" s="66"/>
      <c r="I46" s="66"/>
      <c r="J46" s="66"/>
      <c r="K46" s="144"/>
      <c r="L46" s="66"/>
      <c r="M46" s="66"/>
      <c r="N46" s="75"/>
      <c r="O46" s="72"/>
      <c r="P46" s="66"/>
      <c r="Q46" s="66"/>
      <c r="R46" s="66"/>
      <c r="S46" s="66"/>
      <c r="T46" s="66"/>
      <c r="U46" s="66"/>
      <c r="V46" s="66"/>
      <c r="W46" s="66"/>
      <c r="X46" s="66"/>
      <c r="Y46" s="66"/>
      <c r="Z46" s="76"/>
      <c r="AA46" s="83"/>
      <c r="AB46" s="82"/>
    </row>
    <row r="47" spans="1:28" ht="13">
      <c r="A47" s="65"/>
      <c r="B47" s="66"/>
      <c r="C47" s="66"/>
      <c r="D47" s="66"/>
      <c r="E47" s="66"/>
      <c r="F47" s="66"/>
      <c r="G47" s="66"/>
      <c r="H47" s="66"/>
      <c r="I47" s="66"/>
      <c r="J47" s="66"/>
      <c r="K47" s="144"/>
      <c r="L47" s="66"/>
      <c r="M47" s="66"/>
      <c r="N47" s="75"/>
      <c r="O47" s="72"/>
      <c r="P47" s="66"/>
      <c r="Q47" s="66"/>
      <c r="R47" s="66"/>
      <c r="S47" s="66"/>
      <c r="T47" s="66"/>
      <c r="U47" s="66"/>
      <c r="V47" s="66"/>
      <c r="W47" s="66"/>
      <c r="X47" s="66"/>
      <c r="Y47" s="66"/>
      <c r="Z47" s="76"/>
      <c r="AA47" s="83"/>
      <c r="AB47" s="82"/>
    </row>
    <row r="48" spans="1:28" ht="13">
      <c r="A48" s="65"/>
      <c r="B48" s="66"/>
      <c r="C48" s="66"/>
      <c r="D48" s="66"/>
      <c r="E48" s="66"/>
      <c r="F48" s="66"/>
      <c r="G48" s="66"/>
      <c r="H48" s="66"/>
      <c r="I48" s="66"/>
      <c r="J48" s="66"/>
      <c r="K48" s="144"/>
      <c r="L48" s="66"/>
      <c r="M48" s="66"/>
      <c r="N48" s="75"/>
      <c r="O48" s="72"/>
      <c r="P48" s="66"/>
      <c r="Q48" s="66"/>
      <c r="R48" s="66"/>
      <c r="S48" s="66"/>
      <c r="T48" s="66"/>
      <c r="U48" s="66"/>
      <c r="V48" s="66"/>
      <c r="W48" s="66"/>
      <c r="X48" s="66"/>
      <c r="Y48" s="66"/>
      <c r="Z48" s="76"/>
      <c r="AA48" s="83"/>
      <c r="AB48" s="82"/>
    </row>
    <row r="49" spans="1:28" ht="13">
      <c r="A49" s="65"/>
      <c r="B49" s="66"/>
      <c r="C49" s="66"/>
      <c r="D49" s="66"/>
      <c r="E49" s="66"/>
      <c r="F49" s="66"/>
      <c r="G49" s="66"/>
      <c r="H49" s="66"/>
      <c r="I49" s="66"/>
      <c r="J49" s="66"/>
      <c r="K49" s="144"/>
      <c r="L49" s="66"/>
      <c r="M49" s="66"/>
      <c r="N49" s="75"/>
      <c r="O49" s="72"/>
      <c r="P49" s="66"/>
      <c r="Q49" s="66"/>
      <c r="R49" s="66"/>
      <c r="S49" s="66"/>
      <c r="T49" s="66"/>
      <c r="U49" s="66"/>
      <c r="V49" s="66"/>
      <c r="W49" s="66"/>
      <c r="X49" s="66"/>
      <c r="Y49" s="66"/>
      <c r="Z49" s="76"/>
      <c r="AA49" s="83"/>
      <c r="AB49" s="82"/>
    </row>
    <row r="50" spans="1:28" ht="13">
      <c r="A50" s="65"/>
      <c r="B50" s="66"/>
      <c r="C50" s="66"/>
      <c r="D50" s="66"/>
      <c r="E50" s="66"/>
      <c r="F50" s="66"/>
      <c r="G50" s="66"/>
      <c r="H50" s="66"/>
      <c r="I50" s="66"/>
      <c r="J50" s="66"/>
      <c r="K50" s="144"/>
      <c r="L50" s="66"/>
      <c r="M50" s="66"/>
      <c r="N50" s="75"/>
      <c r="O50" s="72"/>
      <c r="P50" s="66"/>
      <c r="Q50" s="66"/>
      <c r="R50" s="66"/>
      <c r="S50" s="66"/>
      <c r="T50" s="66"/>
      <c r="U50" s="66"/>
      <c r="V50" s="66"/>
      <c r="W50" s="66"/>
      <c r="X50" s="66"/>
      <c r="Y50" s="66"/>
      <c r="Z50" s="76"/>
      <c r="AA50" s="83"/>
      <c r="AB50" s="82"/>
    </row>
    <row r="51" spans="1:28" ht="13">
      <c r="A51" s="65"/>
      <c r="B51" s="66"/>
      <c r="C51" s="66"/>
      <c r="D51" s="66"/>
      <c r="E51" s="66"/>
      <c r="F51" s="66"/>
      <c r="G51" s="66"/>
      <c r="H51" s="66"/>
      <c r="I51" s="66"/>
      <c r="J51" s="66"/>
      <c r="K51" s="144"/>
      <c r="L51" s="66"/>
      <c r="M51" s="66"/>
      <c r="N51" s="75"/>
      <c r="O51" s="72"/>
      <c r="P51" s="66"/>
      <c r="Q51" s="66"/>
      <c r="R51" s="66"/>
      <c r="S51" s="66"/>
      <c r="T51" s="66"/>
      <c r="U51" s="66"/>
      <c r="V51" s="66"/>
      <c r="W51" s="66"/>
      <c r="X51" s="66"/>
      <c r="Y51" s="66"/>
      <c r="Z51" s="76"/>
      <c r="AA51" s="83"/>
      <c r="AB51" s="82"/>
    </row>
    <row r="52" spans="1:28" ht="13">
      <c r="A52" s="65"/>
      <c r="B52" s="74"/>
      <c r="C52" s="74"/>
      <c r="D52" s="74"/>
      <c r="E52" s="74"/>
      <c r="F52" s="74"/>
      <c r="G52" s="74"/>
      <c r="H52" s="74"/>
      <c r="I52" s="74"/>
      <c r="J52" s="74"/>
      <c r="K52" s="144"/>
      <c r="L52" s="74"/>
      <c r="M52" s="74"/>
      <c r="N52" s="76"/>
      <c r="O52" s="72"/>
      <c r="P52" s="74"/>
      <c r="Q52" s="74"/>
      <c r="R52" s="74"/>
      <c r="S52" s="74"/>
      <c r="T52" s="74"/>
      <c r="U52" s="74"/>
      <c r="V52" s="74"/>
      <c r="W52" s="74"/>
      <c r="X52" s="74"/>
      <c r="Y52" s="74"/>
      <c r="Z52" s="76"/>
      <c r="AA52" s="83"/>
      <c r="AB52" s="64"/>
    </row>
    <row r="53" spans="1:28" ht="13">
      <c r="A53" s="65"/>
      <c r="B53" s="66"/>
      <c r="C53" s="66"/>
      <c r="D53" s="66"/>
      <c r="E53" s="66"/>
      <c r="F53" s="66"/>
      <c r="G53" s="66"/>
      <c r="H53" s="66"/>
      <c r="I53" s="66"/>
      <c r="J53" s="66"/>
      <c r="K53" s="144"/>
      <c r="L53" s="66"/>
      <c r="M53" s="66"/>
      <c r="N53" s="75"/>
      <c r="O53" s="72"/>
      <c r="P53" s="66"/>
      <c r="Q53" s="66"/>
      <c r="R53" s="66"/>
      <c r="S53" s="66"/>
      <c r="T53" s="66"/>
      <c r="U53" s="66"/>
      <c r="V53" s="66"/>
      <c r="W53" s="66"/>
      <c r="X53" s="66"/>
      <c r="Y53" s="66"/>
      <c r="Z53" s="76"/>
      <c r="AA53" s="83"/>
      <c r="AB53" s="82"/>
    </row>
    <row r="54" spans="1:28" ht="13">
      <c r="A54" s="65"/>
      <c r="B54" s="66"/>
      <c r="C54" s="66"/>
      <c r="D54" s="66"/>
      <c r="E54" s="66"/>
      <c r="F54" s="66"/>
      <c r="G54" s="66"/>
      <c r="H54" s="66"/>
      <c r="I54" s="66"/>
      <c r="J54" s="66"/>
      <c r="K54" s="144"/>
      <c r="L54" s="66"/>
      <c r="M54" s="66"/>
      <c r="N54" s="75"/>
      <c r="O54" s="72"/>
      <c r="P54" s="66"/>
      <c r="Q54" s="66"/>
      <c r="R54" s="66"/>
      <c r="S54" s="66"/>
      <c r="T54" s="66"/>
      <c r="U54" s="66"/>
      <c r="V54" s="66"/>
      <c r="W54" s="66"/>
      <c r="X54" s="66"/>
      <c r="Y54" s="66"/>
      <c r="Z54" s="76"/>
      <c r="AA54" s="83"/>
      <c r="AB54" s="82"/>
    </row>
    <row r="55" spans="1:28" ht="13">
      <c r="A55" s="65"/>
      <c r="B55" s="83"/>
      <c r="C55" s="83"/>
      <c r="D55" s="83"/>
      <c r="E55" s="83"/>
      <c r="F55" s="83"/>
      <c r="G55" s="83"/>
      <c r="H55" s="83"/>
      <c r="I55" s="83"/>
      <c r="J55" s="83"/>
      <c r="K55" s="146"/>
      <c r="L55" s="83"/>
      <c r="M55" s="83"/>
      <c r="N55" s="79"/>
      <c r="O55" s="83"/>
      <c r="P55" s="83"/>
      <c r="Q55" s="83"/>
      <c r="R55" s="83"/>
      <c r="S55" s="83"/>
      <c r="T55" s="83"/>
      <c r="U55" s="83"/>
      <c r="V55" s="83"/>
      <c r="W55" s="83"/>
      <c r="X55" s="83"/>
      <c r="Y55" s="83"/>
      <c r="Z55" s="80"/>
      <c r="AA55" s="83"/>
      <c r="AB55" s="64"/>
    </row>
    <row r="56" spans="1:28">
      <c r="A56" s="70"/>
      <c r="B56" s="83"/>
      <c r="C56" s="83"/>
      <c r="D56" s="83"/>
      <c r="E56" s="83"/>
      <c r="F56" s="83"/>
      <c r="G56" s="83"/>
      <c r="H56" s="83"/>
      <c r="I56" s="83"/>
      <c r="J56" s="83"/>
      <c r="K56" s="146"/>
      <c r="L56" s="83"/>
      <c r="M56" s="83"/>
      <c r="N56" s="83"/>
      <c r="O56" s="83"/>
      <c r="P56" s="83"/>
      <c r="Q56" s="83"/>
      <c r="R56" s="83"/>
      <c r="S56" s="83"/>
      <c r="T56" s="83"/>
      <c r="U56" s="83"/>
      <c r="V56" s="83"/>
      <c r="W56" s="83"/>
      <c r="X56" s="83"/>
      <c r="Y56" s="83"/>
      <c r="Z56" s="83"/>
      <c r="AA56" s="83"/>
      <c r="AB56" s="64"/>
    </row>
    <row r="57" spans="1:28">
      <c r="A57" s="70"/>
      <c r="B57" s="64"/>
      <c r="C57" s="64"/>
      <c r="D57" s="64"/>
      <c r="E57" s="64"/>
      <c r="F57" s="64"/>
      <c r="G57" s="64"/>
      <c r="H57" s="64"/>
      <c r="I57" s="64"/>
      <c r="J57" s="64"/>
      <c r="K57" s="147"/>
      <c r="L57" s="64"/>
      <c r="M57" s="64"/>
      <c r="N57" s="83"/>
      <c r="O57" s="64"/>
      <c r="P57" s="64"/>
      <c r="Q57" s="64"/>
      <c r="R57" s="64"/>
      <c r="S57" s="64"/>
      <c r="T57" s="64"/>
      <c r="U57" s="64"/>
      <c r="V57" s="64"/>
      <c r="W57" s="64"/>
      <c r="X57" s="64"/>
      <c r="Y57" s="64"/>
      <c r="Z57" s="64"/>
      <c r="AA57" s="64"/>
      <c r="AB57" s="64"/>
    </row>
    <row r="58" spans="1:28">
      <c r="A58" s="70"/>
      <c r="B58" s="71"/>
      <c r="C58" s="71"/>
      <c r="D58" s="71"/>
      <c r="E58" s="71"/>
      <c r="F58" s="71"/>
      <c r="G58" s="71"/>
      <c r="H58" s="71"/>
      <c r="I58" s="71"/>
      <c r="J58" s="71"/>
      <c r="K58" s="148"/>
      <c r="L58" s="71"/>
      <c r="M58" s="71"/>
      <c r="N58" s="77"/>
      <c r="O58" s="71"/>
      <c r="P58" s="71"/>
      <c r="Q58" s="71"/>
      <c r="R58" s="71"/>
      <c r="S58" s="71"/>
      <c r="T58" s="71"/>
      <c r="U58" s="71"/>
      <c r="V58" s="71"/>
      <c r="W58" s="71"/>
      <c r="X58" s="71"/>
      <c r="Y58" s="71"/>
      <c r="Z58" s="71"/>
      <c r="AA58" s="71"/>
      <c r="AB58" s="71"/>
    </row>
    <row r="59" spans="1:28">
      <c r="A59" s="70"/>
      <c r="B59" s="71"/>
      <c r="C59" s="71"/>
      <c r="D59" s="71"/>
      <c r="E59" s="71"/>
      <c r="F59" s="71"/>
      <c r="G59" s="71"/>
      <c r="H59" s="71"/>
      <c r="I59" s="71"/>
      <c r="J59" s="71"/>
      <c r="K59" s="148"/>
      <c r="L59" s="71"/>
      <c r="M59" s="71"/>
      <c r="N59" s="77"/>
      <c r="O59" s="71"/>
      <c r="P59" s="71"/>
      <c r="Q59" s="71"/>
      <c r="R59" s="71"/>
      <c r="S59" s="71"/>
      <c r="T59" s="71"/>
      <c r="U59" s="71"/>
      <c r="V59" s="71"/>
      <c r="W59" s="71"/>
      <c r="X59" s="71"/>
      <c r="Y59" s="71"/>
      <c r="Z59" s="71"/>
      <c r="AA59" s="71"/>
      <c r="AB59" s="71"/>
    </row>
    <row r="60" spans="1:28">
      <c r="A60" s="70"/>
      <c r="B60" s="71"/>
      <c r="C60" s="71"/>
      <c r="D60" s="71"/>
      <c r="E60" s="71"/>
      <c r="F60" s="71"/>
      <c r="G60" s="71"/>
      <c r="H60" s="71"/>
      <c r="I60" s="71"/>
      <c r="J60" s="71"/>
      <c r="K60" s="148"/>
      <c r="L60" s="71"/>
      <c r="M60" s="71"/>
      <c r="N60" s="77"/>
      <c r="O60" s="71"/>
      <c r="P60" s="71"/>
      <c r="Q60" s="71"/>
      <c r="R60" s="71"/>
      <c r="S60" s="71"/>
      <c r="T60" s="71"/>
      <c r="U60" s="71"/>
      <c r="V60" s="71"/>
      <c r="W60" s="71"/>
      <c r="X60" s="71"/>
      <c r="Y60" s="71"/>
      <c r="Z60" s="71"/>
      <c r="AA60" s="71"/>
      <c r="AB60" s="71"/>
    </row>
    <row r="61" spans="1:28">
      <c r="A61" s="70"/>
      <c r="B61" s="71"/>
      <c r="C61" s="71"/>
      <c r="D61" s="71"/>
      <c r="E61" s="71"/>
      <c r="F61" s="71"/>
      <c r="G61" s="71"/>
      <c r="H61" s="71"/>
      <c r="I61" s="71"/>
      <c r="J61" s="71"/>
      <c r="K61" s="148"/>
      <c r="L61" s="71"/>
      <c r="M61" s="71"/>
      <c r="N61" s="77"/>
      <c r="O61" s="71"/>
      <c r="P61" s="71"/>
      <c r="Q61" s="71"/>
      <c r="R61" s="71"/>
      <c r="S61" s="71"/>
      <c r="T61" s="71"/>
      <c r="U61" s="71"/>
      <c r="V61" s="71"/>
      <c r="W61" s="71"/>
      <c r="X61" s="71"/>
      <c r="Y61" s="71"/>
      <c r="Z61" s="71"/>
      <c r="AA61" s="71"/>
      <c r="AB61" s="71"/>
    </row>
    <row r="62" spans="1:28">
      <c r="A62" s="70"/>
      <c r="B62" s="70"/>
      <c r="C62" s="70"/>
      <c r="D62" s="70"/>
      <c r="E62" s="70"/>
      <c r="F62" s="70"/>
      <c r="G62" s="70"/>
      <c r="H62" s="70"/>
      <c r="I62" s="70"/>
      <c r="J62" s="70"/>
      <c r="K62" s="149"/>
      <c r="L62" s="71"/>
      <c r="M62" s="71"/>
      <c r="N62" s="77"/>
      <c r="O62" s="71"/>
      <c r="P62" s="73"/>
      <c r="Q62" s="73"/>
      <c r="R62" s="73"/>
      <c r="S62" s="73"/>
      <c r="T62" s="73"/>
      <c r="U62" s="73"/>
      <c r="V62" s="73"/>
      <c r="W62" s="73"/>
      <c r="X62" s="73"/>
      <c r="Y62" s="73"/>
      <c r="Z62" s="70"/>
      <c r="AA62" s="70"/>
      <c r="AB62" s="71"/>
    </row>
    <row r="63" spans="1:28">
      <c r="A63" s="70"/>
      <c r="B63" s="70"/>
      <c r="C63" s="70"/>
      <c r="D63" s="70"/>
      <c r="E63" s="70"/>
      <c r="F63" s="70"/>
      <c r="G63" s="70"/>
      <c r="H63" s="70"/>
      <c r="I63" s="70"/>
      <c r="J63" s="70"/>
      <c r="K63" s="149"/>
      <c r="L63" s="71"/>
      <c r="M63" s="71"/>
      <c r="N63" s="77"/>
      <c r="O63" s="71"/>
      <c r="P63" s="73"/>
      <c r="Q63" s="73"/>
      <c r="R63" s="73"/>
      <c r="S63" s="73"/>
      <c r="T63" s="73"/>
      <c r="U63" s="73"/>
      <c r="V63" s="73"/>
      <c r="W63" s="73"/>
      <c r="X63" s="73"/>
      <c r="Y63" s="73"/>
      <c r="Z63" s="70"/>
      <c r="AA63" s="70"/>
      <c r="AB63" s="71"/>
    </row>
    <row r="64" spans="1:28">
      <c r="A64" s="70"/>
      <c r="N64" s="34"/>
    </row>
    <row r="65" spans="14:14">
      <c r="N65" s="34"/>
    </row>
    <row r="66" spans="14:14">
      <c r="N66" s="34"/>
    </row>
    <row r="67" spans="14:14">
      <c r="N67" s="34"/>
    </row>
    <row r="68" spans="14:14">
      <c r="N68" s="34"/>
    </row>
    <row r="69" spans="14:14">
      <c r="N69" s="34"/>
    </row>
    <row r="70" spans="14:14">
      <c r="N70" s="34"/>
    </row>
    <row r="71" spans="14:14">
      <c r="N71" s="34"/>
    </row>
    <row r="72" spans="14:14">
      <c r="N72" s="34"/>
    </row>
    <row r="73" spans="14:14">
      <c r="N73" s="34"/>
    </row>
    <row r="74" spans="14:14">
      <c r="N74" s="34"/>
    </row>
    <row r="75" spans="14:14">
      <c r="N75" s="34"/>
    </row>
    <row r="76" spans="14:14">
      <c r="N76" s="34"/>
    </row>
    <row r="77" spans="14:14">
      <c r="N77" s="34"/>
    </row>
    <row r="78" spans="14:14">
      <c r="N78" s="34"/>
    </row>
    <row r="79" spans="14:14">
      <c r="N79" s="34"/>
    </row>
    <row r="80" spans="14:14">
      <c r="N80" s="34"/>
    </row>
    <row r="81" spans="14:14">
      <c r="N81" s="34"/>
    </row>
    <row r="82" spans="14:14">
      <c r="N82" s="34"/>
    </row>
    <row r="83" spans="14:14">
      <c r="N83" s="34"/>
    </row>
    <row r="84" spans="14:14">
      <c r="N84" s="34"/>
    </row>
    <row r="85" spans="14:14">
      <c r="N85" s="34"/>
    </row>
    <row r="86" spans="14:14">
      <c r="N86" s="34"/>
    </row>
    <row r="87" spans="14:14">
      <c r="N87" s="34"/>
    </row>
    <row r="88" spans="14:14">
      <c r="N88" s="34"/>
    </row>
    <row r="89" spans="14:14">
      <c r="N89" s="34"/>
    </row>
    <row r="90" spans="14:14">
      <c r="N90" s="34"/>
    </row>
    <row r="91" spans="14:14">
      <c r="N91" s="34"/>
    </row>
    <row r="92" spans="14:14">
      <c r="N92" s="34"/>
    </row>
    <row r="93" spans="14:14">
      <c r="N93" s="34"/>
    </row>
    <row r="94" spans="14:14">
      <c r="N94" s="34"/>
    </row>
    <row r="95" spans="14:14">
      <c r="N95" s="34"/>
    </row>
    <row r="96" spans="14:14">
      <c r="N96" s="34"/>
    </row>
    <row r="97" spans="14:14">
      <c r="N97" s="34"/>
    </row>
  </sheetData>
  <phoneticPr fontId="31" type="noConversion"/>
  <pageMargins left="0.75" right="0.75" top="1" bottom="1" header="0.5" footer="0.5"/>
  <pageSetup scale="56" orientation="landscape" r:id="rId1"/>
  <headerFooter alignWithMargins="0"/>
</worksheet>
</file>

<file path=xl/worksheets/sheet12.xml><?xml version="1.0" encoding="utf-8"?>
<worksheet xmlns="http://schemas.openxmlformats.org/spreadsheetml/2006/main" xmlns:r="http://schemas.openxmlformats.org/officeDocument/2006/relationships">
  <dimension ref="A1:F17"/>
  <sheetViews>
    <sheetView zoomScale="90" zoomScaleNormal="90" workbookViewId="0">
      <selection activeCell="C6" sqref="C6"/>
    </sheetView>
  </sheetViews>
  <sheetFormatPr defaultColWidth="8.81640625" defaultRowHeight="12.5"/>
  <cols>
    <col min="2" max="2" width="56.1796875" customWidth="1"/>
    <col min="3" max="3" width="17.81640625" bestFit="1" customWidth="1"/>
    <col min="4" max="4" width="14.81640625" style="102" customWidth="1"/>
    <col min="5" max="5" width="8.81640625" style="3"/>
  </cols>
  <sheetData>
    <row r="1" spans="1:6" ht="18">
      <c r="B1" s="231" t="s">
        <v>227</v>
      </c>
      <c r="C1" s="6"/>
      <c r="D1" s="132"/>
      <c r="E1" s="16"/>
      <c r="F1" s="6"/>
    </row>
    <row r="2" spans="1:6" ht="13">
      <c r="B2" s="123"/>
      <c r="C2" s="9"/>
      <c r="D2" s="132"/>
      <c r="E2" s="143"/>
      <c r="F2" s="6"/>
    </row>
    <row r="3" spans="1:6" ht="13">
      <c r="B3" s="10"/>
      <c r="C3" s="13" t="s">
        <v>17</v>
      </c>
      <c r="D3" s="42" t="s">
        <v>14</v>
      </c>
      <c r="E3" s="143"/>
      <c r="F3" s="143"/>
    </row>
    <row r="4" spans="1:6" ht="13">
      <c r="A4" s="246">
        <v>11</v>
      </c>
      <c r="B4" s="246" t="s">
        <v>168</v>
      </c>
      <c r="C4" s="423" t="s">
        <v>292</v>
      </c>
      <c r="D4" s="424">
        <f>IF(C4="fail",0,50)</f>
        <v>0</v>
      </c>
      <c r="E4" s="143"/>
      <c r="F4" s="6"/>
    </row>
    <row r="5" spans="1:6" ht="13">
      <c r="A5" s="246">
        <v>12</v>
      </c>
      <c r="B5" s="246" t="s">
        <v>171</v>
      </c>
      <c r="C5" s="423" t="s">
        <v>292</v>
      </c>
      <c r="D5" s="424">
        <f t="shared" ref="D5:D17" si="0">IF(C5="fail",0,50)</f>
        <v>0</v>
      </c>
      <c r="E5" s="143"/>
      <c r="F5" s="6"/>
    </row>
    <row r="6" spans="1:6" ht="13">
      <c r="A6" s="246">
        <v>13</v>
      </c>
      <c r="B6" s="246" t="s">
        <v>173</v>
      </c>
      <c r="C6" s="423" t="s">
        <v>291</v>
      </c>
      <c r="D6" s="424">
        <f t="shared" si="0"/>
        <v>50</v>
      </c>
      <c r="E6" s="143"/>
      <c r="F6" s="6"/>
    </row>
    <row r="7" spans="1:6" s="122" customFormat="1" ht="13">
      <c r="A7" s="246">
        <v>14</v>
      </c>
      <c r="B7" s="246" t="s">
        <v>198</v>
      </c>
      <c r="C7" s="423" t="s">
        <v>292</v>
      </c>
      <c r="D7" s="424">
        <f t="shared" si="0"/>
        <v>0</v>
      </c>
      <c r="E7" s="126"/>
      <c r="F7" s="123"/>
    </row>
    <row r="8" spans="1:6" s="135" customFormat="1" ht="13">
      <c r="A8" s="246">
        <v>15</v>
      </c>
      <c r="B8" s="246" t="s">
        <v>164</v>
      </c>
      <c r="C8" s="423" t="s">
        <v>292</v>
      </c>
      <c r="D8" s="424">
        <f t="shared" si="0"/>
        <v>0</v>
      </c>
      <c r="E8" s="126"/>
      <c r="F8" s="134"/>
    </row>
    <row r="9" spans="1:6" ht="13">
      <c r="A9" s="246">
        <v>16</v>
      </c>
      <c r="B9" s="246" t="s">
        <v>208</v>
      </c>
      <c r="C9" s="423" t="s">
        <v>292</v>
      </c>
      <c r="D9" s="424">
        <f t="shared" si="0"/>
        <v>0</v>
      </c>
      <c r="E9" s="16"/>
      <c r="F9" s="6"/>
    </row>
    <row r="10" spans="1:6" ht="13">
      <c r="A10" s="246">
        <v>17</v>
      </c>
      <c r="B10" s="246" t="s">
        <v>167</v>
      </c>
      <c r="C10" s="423" t="s">
        <v>291</v>
      </c>
      <c r="D10" s="424">
        <f t="shared" si="0"/>
        <v>50</v>
      </c>
      <c r="E10" s="16"/>
      <c r="F10" s="6"/>
    </row>
    <row r="11" spans="1:6" ht="13">
      <c r="A11" s="246">
        <v>18</v>
      </c>
      <c r="B11" s="246" t="s">
        <v>209</v>
      </c>
      <c r="C11" s="423" t="s">
        <v>292</v>
      </c>
      <c r="D11" s="424">
        <f t="shared" si="0"/>
        <v>0</v>
      </c>
      <c r="E11" s="16"/>
      <c r="F11" s="6"/>
    </row>
    <row r="12" spans="1:6" ht="13">
      <c r="A12" s="246">
        <v>19</v>
      </c>
      <c r="B12" s="246" t="s">
        <v>170</v>
      </c>
      <c r="C12" s="423" t="s">
        <v>292</v>
      </c>
      <c r="D12" s="424">
        <f t="shared" si="0"/>
        <v>0</v>
      </c>
      <c r="E12" s="16"/>
      <c r="F12" s="6"/>
    </row>
    <row r="13" spans="1:6" s="93" customFormat="1" ht="13">
      <c r="A13" s="246">
        <v>20</v>
      </c>
      <c r="B13" s="246" t="s">
        <v>166</v>
      </c>
      <c r="C13" s="423" t="s">
        <v>291</v>
      </c>
      <c r="D13" s="424">
        <f t="shared" si="0"/>
        <v>50</v>
      </c>
      <c r="E13" s="94"/>
      <c r="F13" s="92"/>
    </row>
    <row r="14" spans="1:6" s="93" customFormat="1" ht="14.5">
      <c r="A14" s="246">
        <v>21</v>
      </c>
      <c r="B14" s="246" t="s">
        <v>165</v>
      </c>
      <c r="C14" s="423" t="s">
        <v>292</v>
      </c>
      <c r="D14" s="424">
        <f t="shared" si="0"/>
        <v>0</v>
      </c>
      <c r="E14" s="195"/>
      <c r="F14" s="92"/>
    </row>
    <row r="15" spans="1:6" s="93" customFormat="1" ht="13">
      <c r="A15" s="246">
        <v>22</v>
      </c>
      <c r="B15" s="246" t="s">
        <v>172</v>
      </c>
      <c r="C15" s="423" t="s">
        <v>292</v>
      </c>
      <c r="D15" s="424">
        <f t="shared" si="0"/>
        <v>0</v>
      </c>
      <c r="E15" s="94"/>
      <c r="F15" s="92"/>
    </row>
    <row r="16" spans="1:6" ht="13">
      <c r="A16" s="246">
        <v>23</v>
      </c>
      <c r="B16" s="246" t="s">
        <v>210</v>
      </c>
      <c r="C16" s="423" t="s">
        <v>292</v>
      </c>
      <c r="D16" s="424">
        <f t="shared" si="0"/>
        <v>0</v>
      </c>
    </row>
    <row r="17" spans="1:4" ht="13">
      <c r="A17" s="246">
        <v>26</v>
      </c>
      <c r="B17" s="246" t="s">
        <v>169</v>
      </c>
      <c r="C17" s="423" t="s">
        <v>292</v>
      </c>
      <c r="D17" s="424">
        <f t="shared" si="0"/>
        <v>0</v>
      </c>
    </row>
  </sheetData>
  <phoneticPr fontId="31" type="noConversion"/>
  <printOptions gridLines="1"/>
  <pageMargins left="0.75" right="0.75" top="1" bottom="1" header="0.5" footer="0.5"/>
  <pageSetup orientation="landscape" horizontalDpi="4294967294" r:id="rId1"/>
  <headerFooter alignWithMargins="0"/>
</worksheet>
</file>

<file path=xl/worksheets/sheet13.xml><?xml version="1.0" encoding="utf-8"?>
<worksheet xmlns="http://schemas.openxmlformats.org/spreadsheetml/2006/main" xmlns:r="http://schemas.openxmlformats.org/officeDocument/2006/relationships">
  <dimension ref="A1:Q24"/>
  <sheetViews>
    <sheetView workbookViewId="0">
      <selection activeCell="J6" sqref="J6:J19"/>
    </sheetView>
  </sheetViews>
  <sheetFormatPr defaultColWidth="8.81640625" defaultRowHeight="12.5"/>
  <cols>
    <col min="2" max="2" width="58.81640625" customWidth="1"/>
    <col min="3" max="3" width="10" customWidth="1"/>
    <col min="4" max="4" width="10.453125" customWidth="1"/>
    <col min="5" max="5" width="10" customWidth="1"/>
    <col min="6" max="8" width="10.1796875" customWidth="1"/>
    <col min="9" max="9" width="13.453125" customWidth="1"/>
    <col min="10" max="10" width="13" customWidth="1"/>
    <col min="11" max="11" width="10.453125" customWidth="1"/>
    <col min="12" max="12" width="11" customWidth="1"/>
    <col min="13" max="13" width="48" customWidth="1"/>
    <col min="14" max="15" width="10" customWidth="1"/>
  </cols>
  <sheetData>
    <row r="1" spans="1:17" ht="18">
      <c r="B1" s="264" t="s">
        <v>228</v>
      </c>
      <c r="C1" s="6"/>
      <c r="D1" s="208"/>
      <c r="E1" s="208"/>
      <c r="F1" s="6"/>
      <c r="G1" s="208"/>
      <c r="H1" s="208"/>
      <c r="I1" s="6"/>
      <c r="J1" s="6"/>
      <c r="K1" s="6"/>
      <c r="L1" s="6"/>
      <c r="M1" s="6"/>
      <c r="N1" s="8"/>
      <c r="O1" s="6"/>
      <c r="P1" s="6"/>
      <c r="Q1" s="6"/>
    </row>
    <row r="2" spans="1:17" ht="18">
      <c r="B2" s="231" t="s">
        <v>175</v>
      </c>
      <c r="C2" s="6"/>
      <c r="D2" s="208"/>
      <c r="E2" s="208"/>
      <c r="I2" s="8" t="s">
        <v>31</v>
      </c>
      <c r="J2" s="51">
        <f>MAX(I6:I19)</f>
        <v>0</v>
      </c>
      <c r="K2" s="6" t="s">
        <v>16</v>
      </c>
      <c r="L2" s="6">
        <v>2.5</v>
      </c>
      <c r="M2" s="132" t="s">
        <v>146</v>
      </c>
      <c r="N2" s="8"/>
      <c r="O2" s="6"/>
      <c r="P2" s="6"/>
      <c r="Q2" s="6"/>
    </row>
    <row r="3" spans="1:17" ht="13">
      <c r="B3" s="121"/>
      <c r="C3" s="6"/>
      <c r="D3" s="208"/>
      <c r="E3" s="208"/>
      <c r="I3" s="8" t="s">
        <v>32</v>
      </c>
      <c r="J3" s="51">
        <f>MIN(I6:I19)</f>
        <v>0</v>
      </c>
      <c r="K3" s="6" t="s">
        <v>16</v>
      </c>
      <c r="L3" s="6">
        <v>50</v>
      </c>
      <c r="M3" s="132" t="s">
        <v>147</v>
      </c>
      <c r="N3" s="8"/>
      <c r="O3" s="6"/>
      <c r="P3" s="6"/>
      <c r="Q3" s="6"/>
    </row>
    <row r="4" spans="1:17" ht="13.5" thickBot="1">
      <c r="B4" s="14"/>
      <c r="C4" s="14"/>
      <c r="D4" s="14"/>
      <c r="E4" s="14"/>
      <c r="F4" s="14"/>
      <c r="G4" s="14"/>
      <c r="H4" s="14"/>
      <c r="I4" s="14"/>
      <c r="J4" s="6"/>
      <c r="K4" s="14"/>
      <c r="L4" s="14"/>
      <c r="M4" s="14"/>
      <c r="N4" s="21"/>
      <c r="O4" s="6"/>
      <c r="P4" s="6"/>
      <c r="Q4" s="6"/>
    </row>
    <row r="5" spans="1:17" ht="30.75" customHeight="1">
      <c r="B5" s="55"/>
      <c r="C5" s="31" t="s">
        <v>138</v>
      </c>
      <c r="D5" s="31" t="s">
        <v>187</v>
      </c>
      <c r="E5" s="31" t="s">
        <v>188</v>
      </c>
      <c r="F5" s="31" t="s">
        <v>139</v>
      </c>
      <c r="G5" s="31" t="s">
        <v>187</v>
      </c>
      <c r="H5" s="31" t="s">
        <v>188</v>
      </c>
      <c r="I5" s="31" t="s">
        <v>30</v>
      </c>
      <c r="J5" s="31" t="s">
        <v>9</v>
      </c>
      <c r="K5" s="20" t="s">
        <v>26</v>
      </c>
      <c r="L5" s="20"/>
      <c r="M5" s="483" t="s">
        <v>302</v>
      </c>
      <c r="N5" s="12"/>
      <c r="O5" s="11"/>
      <c r="P5" s="5"/>
      <c r="Q5" s="6"/>
    </row>
    <row r="6" spans="1:17" ht="13.5" thickBot="1">
      <c r="A6" s="246">
        <v>11</v>
      </c>
      <c r="B6" s="246" t="s">
        <v>168</v>
      </c>
      <c r="C6" s="425"/>
      <c r="D6" s="425"/>
      <c r="E6" s="425"/>
      <c r="F6" s="425"/>
      <c r="G6" s="425"/>
      <c r="H6" s="425"/>
      <c r="I6" s="426"/>
      <c r="J6" s="166">
        <v>0</v>
      </c>
      <c r="K6" s="427">
        <f>RANK(J6,$J$6:$J$19)</f>
        <v>1</v>
      </c>
      <c r="L6" s="40"/>
      <c r="M6" s="485" t="e">
        <f>IF((I6=100), 2.5,(-$J$22*I6+$J$23))</f>
        <v>#DIV/0!</v>
      </c>
      <c r="N6" s="22"/>
      <c r="O6" s="23"/>
      <c r="P6" s="16"/>
      <c r="Q6" s="6"/>
    </row>
    <row r="7" spans="1:17" ht="13">
      <c r="A7" s="246">
        <v>12</v>
      </c>
      <c r="B7" s="246" t="s">
        <v>171</v>
      </c>
      <c r="C7" s="425"/>
      <c r="D7" s="425"/>
      <c r="E7" s="425"/>
      <c r="F7" s="425"/>
      <c r="G7" s="425"/>
      <c r="H7" s="425"/>
      <c r="I7" s="426"/>
      <c r="J7" s="166">
        <v>0</v>
      </c>
      <c r="K7" s="427">
        <f t="shared" ref="K7:K19" si="0">RANK(J7,$J$6:$J$19)</f>
        <v>1</v>
      </c>
      <c r="L7" s="54"/>
      <c r="M7" s="217"/>
      <c r="N7" s="22"/>
      <c r="O7" s="23"/>
      <c r="P7" s="16"/>
      <c r="Q7" s="6"/>
    </row>
    <row r="8" spans="1:17" ht="13">
      <c r="A8" s="246">
        <v>13</v>
      </c>
      <c r="B8" s="246" t="s">
        <v>173</v>
      </c>
      <c r="C8" s="425"/>
      <c r="D8" s="425"/>
      <c r="E8" s="425"/>
      <c r="F8" s="425"/>
      <c r="G8" s="425"/>
      <c r="H8" s="425"/>
      <c r="I8" s="426"/>
      <c r="J8" s="166">
        <v>0</v>
      </c>
      <c r="K8" s="427">
        <f t="shared" si="0"/>
        <v>1</v>
      </c>
      <c r="L8" s="40"/>
      <c r="M8" s="217"/>
      <c r="N8" s="22"/>
      <c r="O8" s="23"/>
      <c r="P8" s="16"/>
      <c r="Q8" s="6"/>
    </row>
    <row r="9" spans="1:17" s="122" customFormat="1" ht="13">
      <c r="A9" s="246">
        <v>14</v>
      </c>
      <c r="B9" s="246" t="s">
        <v>198</v>
      </c>
      <c r="C9" s="425"/>
      <c r="D9" s="425"/>
      <c r="E9" s="425"/>
      <c r="F9" s="425"/>
      <c r="G9" s="425"/>
      <c r="H9" s="425"/>
      <c r="I9" s="426"/>
      <c r="J9" s="166">
        <v>0</v>
      </c>
      <c r="K9" s="427">
        <f t="shared" si="0"/>
        <v>1</v>
      </c>
      <c r="L9" s="127"/>
      <c r="M9" s="217"/>
      <c r="N9" s="128"/>
      <c r="O9" s="120"/>
      <c r="P9" s="126"/>
      <c r="Q9" s="123"/>
    </row>
    <row r="10" spans="1:17" s="122" customFormat="1" ht="13">
      <c r="A10" s="246">
        <v>15</v>
      </c>
      <c r="B10" s="246" t="s">
        <v>164</v>
      </c>
      <c r="C10" s="425"/>
      <c r="D10" s="425"/>
      <c r="E10" s="425"/>
      <c r="F10" s="425"/>
      <c r="G10" s="425"/>
      <c r="H10" s="425"/>
      <c r="I10" s="426"/>
      <c r="J10" s="166">
        <v>0</v>
      </c>
      <c r="K10" s="427">
        <f t="shared" si="0"/>
        <v>1</v>
      </c>
      <c r="L10" s="127"/>
      <c r="M10" s="217"/>
      <c r="N10" s="128"/>
      <c r="O10" s="120"/>
      <c r="P10" s="126"/>
      <c r="Q10" s="123"/>
    </row>
    <row r="11" spans="1:17" ht="13">
      <c r="A11" s="246">
        <v>16</v>
      </c>
      <c r="B11" s="246" t="s">
        <v>208</v>
      </c>
      <c r="C11" s="425"/>
      <c r="D11" s="425"/>
      <c r="E11" s="425"/>
      <c r="F11" s="425"/>
      <c r="G11" s="425"/>
      <c r="H11" s="425"/>
      <c r="I11" s="426"/>
      <c r="J11" s="166">
        <v>0</v>
      </c>
      <c r="K11" s="427">
        <f t="shared" si="0"/>
        <v>1</v>
      </c>
      <c r="L11" s="40"/>
      <c r="M11" s="217"/>
      <c r="N11" s="22"/>
      <c r="O11" s="23"/>
      <c r="P11" s="16"/>
      <c r="Q11" s="6"/>
    </row>
    <row r="12" spans="1:17" ht="13">
      <c r="A12" s="246">
        <v>17</v>
      </c>
      <c r="B12" s="246" t="s">
        <v>167</v>
      </c>
      <c r="C12" s="425"/>
      <c r="D12" s="425"/>
      <c r="E12" s="425"/>
      <c r="F12" s="425"/>
      <c r="G12" s="425"/>
      <c r="H12" s="425"/>
      <c r="I12" s="426"/>
      <c r="J12" s="166">
        <v>0</v>
      </c>
      <c r="K12" s="427">
        <f t="shared" si="0"/>
        <v>1</v>
      </c>
      <c r="L12" s="40"/>
      <c r="M12" s="217"/>
      <c r="N12" s="22"/>
      <c r="O12" s="23"/>
      <c r="P12" s="16"/>
      <c r="Q12" s="6"/>
    </row>
    <row r="13" spans="1:17" ht="13">
      <c r="A13" s="246">
        <v>18</v>
      </c>
      <c r="B13" s="246" t="s">
        <v>209</v>
      </c>
      <c r="C13" s="425"/>
      <c r="D13" s="425"/>
      <c r="E13" s="425"/>
      <c r="F13" s="425"/>
      <c r="G13" s="425"/>
      <c r="H13" s="425"/>
      <c r="I13" s="426"/>
      <c r="J13" s="166">
        <v>0</v>
      </c>
      <c r="K13" s="427">
        <f t="shared" si="0"/>
        <v>1</v>
      </c>
      <c r="L13" s="40"/>
      <c r="M13" s="217"/>
      <c r="N13" s="22"/>
      <c r="O13" s="23"/>
      <c r="P13" s="16"/>
      <c r="Q13" s="6"/>
    </row>
    <row r="14" spans="1:17" ht="13">
      <c r="A14" s="246">
        <v>19</v>
      </c>
      <c r="B14" s="246" t="s">
        <v>170</v>
      </c>
      <c r="C14" s="425"/>
      <c r="D14" s="425"/>
      <c r="E14" s="425"/>
      <c r="F14" s="425"/>
      <c r="G14" s="425"/>
      <c r="H14" s="425"/>
      <c r="I14" s="426"/>
      <c r="J14" s="166">
        <v>0</v>
      </c>
      <c r="K14" s="427">
        <f t="shared" si="0"/>
        <v>1</v>
      </c>
      <c r="L14" s="40"/>
      <c r="M14" s="219"/>
      <c r="N14" s="22"/>
      <c r="O14" s="23"/>
      <c r="P14" s="16"/>
      <c r="Q14" s="6"/>
    </row>
    <row r="15" spans="1:17" ht="13">
      <c r="A15" s="246">
        <v>20</v>
      </c>
      <c r="B15" s="246" t="s">
        <v>166</v>
      </c>
      <c r="C15" s="425"/>
      <c r="D15" s="425"/>
      <c r="E15" s="425"/>
      <c r="F15" s="425"/>
      <c r="G15" s="425"/>
      <c r="H15" s="425"/>
      <c r="I15" s="426"/>
      <c r="J15" s="166">
        <v>0</v>
      </c>
      <c r="K15" s="427">
        <f t="shared" si="0"/>
        <v>1</v>
      </c>
      <c r="L15" s="40"/>
      <c r="M15" s="218"/>
      <c r="N15" s="22"/>
      <c r="O15" s="23"/>
      <c r="P15" s="16"/>
      <c r="Q15" s="6"/>
    </row>
    <row r="16" spans="1:17" ht="13">
      <c r="A16" s="246">
        <v>21</v>
      </c>
      <c r="B16" s="246" t="s">
        <v>165</v>
      </c>
      <c r="C16" s="425"/>
      <c r="D16" s="425"/>
      <c r="E16" s="425"/>
      <c r="F16" s="425"/>
      <c r="G16" s="425"/>
      <c r="H16" s="425"/>
      <c r="I16" s="426"/>
      <c r="J16" s="166">
        <v>0</v>
      </c>
      <c r="K16" s="427">
        <f t="shared" si="0"/>
        <v>1</v>
      </c>
      <c r="L16" s="40"/>
      <c r="M16" s="218"/>
      <c r="N16" s="22"/>
      <c r="O16" s="23"/>
      <c r="P16" s="16"/>
      <c r="Q16" s="6"/>
    </row>
    <row r="17" spans="1:17" s="93" customFormat="1" ht="13">
      <c r="A17" s="246">
        <v>22</v>
      </c>
      <c r="B17" s="246" t="s">
        <v>172</v>
      </c>
      <c r="C17" s="425"/>
      <c r="D17" s="425"/>
      <c r="E17" s="425"/>
      <c r="F17" s="425"/>
      <c r="G17" s="425"/>
      <c r="H17" s="425"/>
      <c r="I17" s="426"/>
      <c r="J17" s="166">
        <v>0</v>
      </c>
      <c r="K17" s="427">
        <f t="shared" si="0"/>
        <v>1</v>
      </c>
      <c r="L17" s="95"/>
      <c r="M17" s="217"/>
      <c r="N17" s="96"/>
      <c r="O17" s="97"/>
      <c r="P17" s="94"/>
      <c r="Q17" s="92"/>
    </row>
    <row r="18" spans="1:17" ht="13">
      <c r="A18" s="246">
        <v>23</v>
      </c>
      <c r="B18" s="246" t="s">
        <v>210</v>
      </c>
      <c r="C18" s="348"/>
      <c r="D18" s="348"/>
      <c r="E18" s="348"/>
      <c r="F18" s="348"/>
      <c r="G18" s="348"/>
      <c r="H18" s="348"/>
      <c r="I18" s="426"/>
      <c r="J18" s="166">
        <v>0</v>
      </c>
      <c r="K18" s="427">
        <f t="shared" si="0"/>
        <v>1</v>
      </c>
      <c r="L18" s="6"/>
      <c r="M18" s="217"/>
      <c r="N18" s="6"/>
      <c r="O18" s="6"/>
      <c r="P18" s="6"/>
      <c r="Q18" s="6"/>
    </row>
    <row r="19" spans="1:17" ht="13">
      <c r="A19" s="246">
        <v>26</v>
      </c>
      <c r="B19" s="246" t="s">
        <v>169</v>
      </c>
      <c r="C19" s="348"/>
      <c r="D19" s="348"/>
      <c r="E19" s="348"/>
      <c r="F19" s="348"/>
      <c r="G19" s="348"/>
      <c r="H19" s="348"/>
      <c r="I19" s="426"/>
      <c r="J19" s="166">
        <v>0</v>
      </c>
      <c r="K19" s="427">
        <f t="shared" si="0"/>
        <v>1</v>
      </c>
    </row>
    <row r="21" spans="1:17">
      <c r="I21" s="159" t="s">
        <v>113</v>
      </c>
      <c r="J21" s="159"/>
    </row>
    <row r="22" spans="1:17">
      <c r="I22" s="159" t="s">
        <v>110</v>
      </c>
      <c r="J22" s="164" t="e">
        <f>50/(J2-J3)</f>
        <v>#DIV/0!</v>
      </c>
    </row>
    <row r="23" spans="1:17">
      <c r="I23" s="159" t="s">
        <v>111</v>
      </c>
      <c r="J23" s="138" t="e">
        <f>J22*J2</f>
        <v>#DIV/0!</v>
      </c>
    </row>
    <row r="24" spans="1:17" ht="23">
      <c r="B24" s="482" t="s">
        <v>301</v>
      </c>
    </row>
  </sheetData>
  <phoneticPr fontId="31" type="noConversion"/>
  <printOptions gridLines="1"/>
  <pageMargins left="0.75" right="0.75" top="1" bottom="1" header="0.5" footer="0.5"/>
  <pageSetup scale="90" fitToWidth="2"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sheetPr>
    <pageSetUpPr fitToPage="1"/>
  </sheetPr>
  <dimension ref="A1:O27"/>
  <sheetViews>
    <sheetView zoomScaleNormal="100" zoomScalePageLayoutView="125" workbookViewId="0">
      <pane xSplit="2" ySplit="3" topLeftCell="C4" activePane="bottomRight" state="frozen"/>
      <selection pane="topRight" activeCell="B1" sqref="B1"/>
      <selection pane="bottomLeft" activeCell="A4" sqref="A4"/>
      <selection pane="bottomRight" activeCell="B1" sqref="B1:D1"/>
    </sheetView>
  </sheetViews>
  <sheetFormatPr defaultColWidth="8.81640625" defaultRowHeight="12.5"/>
  <cols>
    <col min="2" max="2" width="30.81640625" customWidth="1"/>
    <col min="3" max="3" width="8.6328125" customWidth="1"/>
    <col min="4" max="4" width="6.90625" customWidth="1"/>
    <col min="5" max="5" width="6.81640625" style="3" customWidth="1"/>
    <col min="6" max="6" width="5.6328125" style="3" customWidth="1"/>
    <col min="7" max="7" width="14" style="3" customWidth="1"/>
    <col min="8" max="8" width="10.81640625" style="3" customWidth="1"/>
    <col min="9" max="9" width="9.81640625" style="3" customWidth="1"/>
    <col min="10" max="10" width="15.81640625" style="160" customWidth="1"/>
    <col min="11" max="11" width="13.453125" style="3" customWidth="1"/>
    <col min="12" max="12" width="5.453125" style="102" bestFit="1" customWidth="1"/>
    <col min="13" max="13" width="26.81640625" customWidth="1"/>
  </cols>
  <sheetData>
    <row r="1" spans="1:15" ht="18">
      <c r="B1" s="662" t="s">
        <v>229</v>
      </c>
      <c r="C1" s="662"/>
      <c r="D1" s="662"/>
      <c r="E1" s="16"/>
      <c r="F1" s="16"/>
      <c r="G1" s="16"/>
      <c r="H1" s="16"/>
      <c r="I1" s="16"/>
      <c r="J1" s="143"/>
      <c r="K1" s="16"/>
      <c r="L1" s="132"/>
      <c r="M1" s="6"/>
    </row>
    <row r="2" spans="1:15">
      <c r="B2" s="21"/>
      <c r="C2" s="21"/>
      <c r="D2" s="21"/>
      <c r="E2" s="40"/>
      <c r="F2" s="40"/>
      <c r="G2" s="40"/>
      <c r="H2" s="40"/>
      <c r="I2" s="40"/>
      <c r="J2" s="142"/>
      <c r="K2" s="40"/>
      <c r="L2" s="132"/>
      <c r="M2" s="6"/>
    </row>
    <row r="3" spans="1:15" s="98" customFormat="1" ht="39">
      <c r="B3" s="193"/>
      <c r="C3" s="487" t="s">
        <v>304</v>
      </c>
      <c r="D3" s="31" t="s">
        <v>36</v>
      </c>
      <c r="E3" s="31" t="s">
        <v>7</v>
      </c>
      <c r="F3" s="31" t="s">
        <v>56</v>
      </c>
      <c r="G3" s="31" t="s">
        <v>48</v>
      </c>
      <c r="H3" s="31" t="s">
        <v>74</v>
      </c>
      <c r="I3" s="31" t="s">
        <v>8</v>
      </c>
      <c r="J3" s="124" t="s">
        <v>57</v>
      </c>
      <c r="K3" s="31" t="s">
        <v>58</v>
      </c>
      <c r="L3" s="28" t="s">
        <v>55</v>
      </c>
      <c r="M3" s="31" t="s">
        <v>45</v>
      </c>
    </row>
    <row r="4" spans="1:15" s="176" customFormat="1" ht="14.5">
      <c r="A4" s="246">
        <v>11</v>
      </c>
      <c r="B4" s="246" t="s">
        <v>168</v>
      </c>
      <c r="C4" s="462"/>
      <c r="D4" s="198"/>
      <c r="E4" s="199"/>
      <c r="F4" s="199"/>
      <c r="G4" s="198"/>
      <c r="H4" s="220"/>
      <c r="I4" s="220"/>
      <c r="J4" s="220">
        <v>0</v>
      </c>
      <c r="K4" s="198"/>
      <c r="L4" s="173">
        <f>SUM(C4:K4)</f>
        <v>0</v>
      </c>
      <c r="M4" s="622" t="s">
        <v>317</v>
      </c>
    </row>
    <row r="5" spans="1:15" s="175" customFormat="1" ht="14.5">
      <c r="A5" s="246">
        <v>12</v>
      </c>
      <c r="B5" s="246" t="s">
        <v>171</v>
      </c>
      <c r="C5" s="462"/>
      <c r="D5" s="198"/>
      <c r="E5" s="199"/>
      <c r="F5" s="199"/>
      <c r="G5" s="198"/>
      <c r="H5" s="198"/>
      <c r="I5" s="220"/>
      <c r="J5" s="220">
        <v>0</v>
      </c>
      <c r="K5" s="198"/>
      <c r="L5" s="173">
        <f t="shared" ref="L5:L17" si="0">SUM(C5:K5)</f>
        <v>0</v>
      </c>
      <c r="M5" s="622" t="s">
        <v>318</v>
      </c>
    </row>
    <row r="6" spans="1:15" s="175" customFormat="1" ht="14.5">
      <c r="A6" s="246">
        <v>13</v>
      </c>
      <c r="B6" s="246" t="s">
        <v>173</v>
      </c>
      <c r="C6" s="462"/>
      <c r="D6" s="198"/>
      <c r="E6" s="199"/>
      <c r="F6" s="199"/>
      <c r="G6" s="198"/>
      <c r="H6" s="198"/>
      <c r="I6" s="198"/>
      <c r="J6" s="220">
        <v>0</v>
      </c>
      <c r="K6" s="198"/>
      <c r="L6" s="173">
        <f t="shared" si="0"/>
        <v>0</v>
      </c>
      <c r="M6" s="621" t="s">
        <v>319</v>
      </c>
      <c r="O6" s="176"/>
    </row>
    <row r="7" spans="1:15" s="176" customFormat="1" ht="14.5">
      <c r="A7" s="246">
        <v>14</v>
      </c>
      <c r="B7" s="246" t="s">
        <v>198</v>
      </c>
      <c r="C7" s="462"/>
      <c r="D7" s="198"/>
      <c r="E7" s="199"/>
      <c r="F7" s="199"/>
      <c r="G7" s="198"/>
      <c r="H7" s="220"/>
      <c r="I7" s="198"/>
      <c r="J7" s="220">
        <v>100</v>
      </c>
      <c r="K7" s="220"/>
      <c r="L7" s="173">
        <f t="shared" si="0"/>
        <v>100</v>
      </c>
      <c r="M7" s="174"/>
    </row>
    <row r="8" spans="1:15" s="176" customFormat="1" ht="14.5">
      <c r="A8" s="246">
        <v>15</v>
      </c>
      <c r="B8" s="246" t="s">
        <v>164</v>
      </c>
      <c r="C8" s="462"/>
      <c r="D8" s="198"/>
      <c r="E8" s="198"/>
      <c r="F8" s="199"/>
      <c r="G8" s="198"/>
      <c r="H8" s="220"/>
      <c r="I8" s="220"/>
      <c r="J8" s="220">
        <v>100</v>
      </c>
      <c r="K8" s="198"/>
      <c r="L8" s="173">
        <f t="shared" si="0"/>
        <v>100</v>
      </c>
      <c r="M8" s="174"/>
    </row>
    <row r="9" spans="1:15" s="176" customFormat="1" ht="26.5">
      <c r="A9" s="246">
        <v>16</v>
      </c>
      <c r="B9" s="246" t="s">
        <v>208</v>
      </c>
      <c r="C9" s="462"/>
      <c r="D9" s="198"/>
      <c r="E9" s="199"/>
      <c r="F9" s="199"/>
      <c r="G9" s="198"/>
      <c r="H9" s="198">
        <v>-40</v>
      </c>
      <c r="I9" s="198"/>
      <c r="J9" s="220">
        <v>0</v>
      </c>
      <c r="K9" s="198"/>
      <c r="L9" s="173">
        <f t="shared" si="0"/>
        <v>-40</v>
      </c>
      <c r="M9" s="622" t="s">
        <v>321</v>
      </c>
    </row>
    <row r="10" spans="1:15" s="176" customFormat="1" ht="14.5">
      <c r="A10" s="246">
        <v>17</v>
      </c>
      <c r="B10" s="246" t="s">
        <v>167</v>
      </c>
      <c r="C10" s="462"/>
      <c r="D10" s="198"/>
      <c r="E10" s="199"/>
      <c r="F10" s="199"/>
      <c r="G10" s="198"/>
      <c r="H10" s="220"/>
      <c r="I10" s="198"/>
      <c r="J10" s="220">
        <v>0</v>
      </c>
      <c r="K10" s="198"/>
      <c r="L10" s="173">
        <f t="shared" si="0"/>
        <v>0</v>
      </c>
      <c r="M10" s="621" t="s">
        <v>322</v>
      </c>
    </row>
    <row r="11" spans="1:15" s="176" customFormat="1" ht="14.5">
      <c r="A11" s="246">
        <v>18</v>
      </c>
      <c r="B11" s="246" t="s">
        <v>209</v>
      </c>
      <c r="C11" s="462"/>
      <c r="D11" s="198"/>
      <c r="E11" s="199"/>
      <c r="F11" s="199"/>
      <c r="G11" s="198"/>
      <c r="H11" s="198"/>
      <c r="I11" s="198"/>
      <c r="J11" s="220">
        <v>0</v>
      </c>
      <c r="K11" s="198"/>
      <c r="L11" s="173">
        <f t="shared" si="0"/>
        <v>0</v>
      </c>
      <c r="M11" s="621" t="s">
        <v>323</v>
      </c>
    </row>
    <row r="12" spans="1:15" s="176" customFormat="1" ht="29">
      <c r="A12" s="246">
        <v>19</v>
      </c>
      <c r="B12" s="246" t="s">
        <v>170</v>
      </c>
      <c r="C12" s="462"/>
      <c r="D12" s="198"/>
      <c r="E12" s="198"/>
      <c r="F12" s="199"/>
      <c r="G12" s="198"/>
      <c r="H12" s="220"/>
      <c r="I12" s="198">
        <v>-50</v>
      </c>
      <c r="J12" s="220">
        <v>0</v>
      </c>
      <c r="L12" s="173">
        <f t="shared" si="0"/>
        <v>-50</v>
      </c>
      <c r="M12" s="623" t="s">
        <v>320</v>
      </c>
    </row>
    <row r="13" spans="1:15" s="177" customFormat="1" ht="39.5">
      <c r="A13" s="246">
        <v>20</v>
      </c>
      <c r="B13" s="246" t="s">
        <v>166</v>
      </c>
      <c r="C13" s="462"/>
      <c r="D13" s="198"/>
      <c r="E13" s="198"/>
      <c r="F13" s="198"/>
      <c r="G13" s="198"/>
      <c r="H13" s="198">
        <v>-30</v>
      </c>
      <c r="I13" s="198"/>
      <c r="J13" s="220">
        <v>0</v>
      </c>
      <c r="K13" s="198"/>
      <c r="L13" s="173">
        <f t="shared" si="0"/>
        <v>-30</v>
      </c>
      <c r="M13" s="622" t="s">
        <v>324</v>
      </c>
    </row>
    <row r="14" spans="1:15" s="176" customFormat="1" ht="14.5">
      <c r="A14" s="246">
        <v>21</v>
      </c>
      <c r="B14" s="246" t="s">
        <v>165</v>
      </c>
      <c r="C14" s="462"/>
      <c r="D14" s="198"/>
      <c r="E14" s="488"/>
      <c r="F14" s="199"/>
      <c r="G14" s="198"/>
      <c r="H14" s="220"/>
      <c r="I14" s="198"/>
      <c r="J14" s="220">
        <v>0</v>
      </c>
      <c r="K14" s="198"/>
      <c r="L14" s="173">
        <f t="shared" si="0"/>
        <v>0</v>
      </c>
      <c r="M14" s="624" t="s">
        <v>325</v>
      </c>
    </row>
    <row r="15" spans="1:15" ht="14.5">
      <c r="A15" s="246">
        <v>22</v>
      </c>
      <c r="B15" s="246" t="s">
        <v>172</v>
      </c>
      <c r="C15" s="486">
        <v>-100</v>
      </c>
      <c r="D15" s="198"/>
      <c r="E15" s="488">
        <v>-100</v>
      </c>
      <c r="F15" s="199"/>
      <c r="G15" s="198">
        <v>-100</v>
      </c>
      <c r="H15" s="220"/>
      <c r="I15" s="198"/>
      <c r="J15" s="220">
        <v>0</v>
      </c>
      <c r="K15" s="198"/>
      <c r="L15" s="173">
        <f t="shared" si="0"/>
        <v>-300</v>
      </c>
      <c r="M15" s="624" t="s">
        <v>326</v>
      </c>
    </row>
    <row r="16" spans="1:15" ht="14.5">
      <c r="A16" s="246">
        <v>23</v>
      </c>
      <c r="B16" s="246" t="s">
        <v>210</v>
      </c>
      <c r="C16" s="462"/>
      <c r="D16" s="198"/>
      <c r="E16" s="488"/>
      <c r="F16" s="199"/>
      <c r="G16" s="198"/>
      <c r="H16" s="220"/>
      <c r="I16" s="198"/>
      <c r="J16" s="220">
        <v>100</v>
      </c>
      <c r="K16" s="198"/>
      <c r="L16" s="173">
        <f t="shared" si="0"/>
        <v>100</v>
      </c>
      <c r="M16" s="6"/>
    </row>
    <row r="17" spans="1:13" ht="14.5">
      <c r="A17" s="246">
        <v>26</v>
      </c>
      <c r="B17" s="246" t="s">
        <v>169</v>
      </c>
      <c r="C17" s="486">
        <v>-100</v>
      </c>
      <c r="D17" s="198"/>
      <c r="E17" s="200"/>
      <c r="F17" s="199"/>
      <c r="G17" s="198"/>
      <c r="H17" s="220"/>
      <c r="I17" s="198"/>
      <c r="J17" s="220">
        <v>0</v>
      </c>
      <c r="K17" s="198"/>
      <c r="L17" s="173">
        <f t="shared" si="0"/>
        <v>-100</v>
      </c>
      <c r="M17" s="624" t="s">
        <v>327</v>
      </c>
    </row>
    <row r="18" spans="1:13" ht="15.5">
      <c r="B18" s="19"/>
      <c r="C18" s="19"/>
      <c r="D18" s="19"/>
      <c r="E18" s="152"/>
      <c r="F18" s="238"/>
      <c r="G18" s="202"/>
      <c r="H18" s="203"/>
      <c r="I18" s="40"/>
      <c r="J18" s="142"/>
      <c r="K18" s="192"/>
      <c r="L18" s="132"/>
      <c r="M18" s="6"/>
    </row>
    <row r="19" spans="1:13" ht="15.5">
      <c r="B19" s="19"/>
      <c r="C19" s="19"/>
      <c r="D19" s="19"/>
      <c r="E19" s="152"/>
      <c r="F19" s="152"/>
      <c r="G19" s="152"/>
      <c r="H19" s="32"/>
      <c r="I19" s="40"/>
      <c r="J19" s="142"/>
      <c r="K19" s="192"/>
      <c r="L19" s="132"/>
      <c r="M19" s="6"/>
    </row>
    <row r="20" spans="1:13" ht="15.5">
      <c r="B20" s="19"/>
      <c r="C20" s="19"/>
      <c r="D20" s="19"/>
      <c r="E20" s="152"/>
      <c r="F20" s="152" t="s">
        <v>156</v>
      </c>
      <c r="G20" s="663" t="s">
        <v>157</v>
      </c>
      <c r="H20" s="663"/>
      <c r="I20" s="625">
        <v>-20</v>
      </c>
      <c r="J20" s="142"/>
      <c r="K20" s="192"/>
      <c r="L20" s="132"/>
      <c r="M20" s="6"/>
    </row>
    <row r="21" spans="1:13" ht="15.5">
      <c r="B21" s="19"/>
      <c r="C21" s="19"/>
      <c r="D21" s="19"/>
      <c r="E21" s="152"/>
      <c r="F21" s="152" t="s">
        <v>59</v>
      </c>
      <c r="G21" s="663" t="s">
        <v>158</v>
      </c>
      <c r="H21" s="663"/>
      <c r="I21" s="155">
        <v>20</v>
      </c>
      <c r="J21" s="142"/>
      <c r="K21" s="192"/>
      <c r="L21" s="132"/>
      <c r="M21" s="6"/>
    </row>
    <row r="22" spans="1:13">
      <c r="B22" s="19"/>
      <c r="C22" s="19"/>
      <c r="D22" s="19"/>
      <c r="E22" s="152"/>
      <c r="F22" s="152"/>
      <c r="G22" s="152"/>
      <c r="H22" s="32"/>
      <c r="I22" s="40"/>
      <c r="J22" s="142"/>
      <c r="K22" s="40"/>
      <c r="L22" s="132"/>
      <c r="M22" s="6"/>
    </row>
    <row r="23" spans="1:13" ht="15.5">
      <c r="B23" s="19"/>
      <c r="C23" s="19"/>
      <c r="D23" s="19"/>
      <c r="E23" s="152"/>
      <c r="F23" s="152"/>
      <c r="G23" s="152"/>
      <c r="H23" s="32"/>
      <c r="I23" s="40"/>
      <c r="J23" s="142"/>
      <c r="K23" s="192"/>
      <c r="L23" s="132"/>
      <c r="M23" s="6"/>
    </row>
    <row r="24" spans="1:13">
      <c r="B24" s="19"/>
      <c r="C24" s="19"/>
      <c r="D24" s="19"/>
      <c r="E24" s="153"/>
      <c r="F24" s="153"/>
      <c r="G24" s="153"/>
      <c r="H24" s="32"/>
      <c r="I24" s="40"/>
      <c r="J24" s="142"/>
      <c r="K24" s="46"/>
    </row>
    <row r="25" spans="1:13">
      <c r="B25" s="1"/>
      <c r="C25" s="1"/>
      <c r="D25" s="1"/>
      <c r="E25" s="46"/>
      <c r="F25" s="46"/>
      <c r="G25" s="46"/>
      <c r="H25" s="40"/>
      <c r="I25" s="46"/>
      <c r="J25" s="172"/>
      <c r="K25" s="46"/>
    </row>
    <row r="26" spans="1:13">
      <c r="B26" s="1"/>
      <c r="C26" s="1"/>
      <c r="D26" s="1"/>
      <c r="E26" s="46"/>
      <c r="F26" s="46"/>
      <c r="G26" s="46"/>
      <c r="H26" s="46"/>
      <c r="I26" s="46"/>
      <c r="J26" s="172"/>
      <c r="K26" s="46"/>
    </row>
    <row r="27" spans="1:13">
      <c r="B27" s="1"/>
      <c r="C27" s="1"/>
      <c r="D27" s="1"/>
      <c r="E27" s="46"/>
      <c r="F27" s="46"/>
      <c r="G27" s="46"/>
      <c r="H27" s="46"/>
      <c r="I27" s="46"/>
      <c r="J27" s="172"/>
      <c r="K27" s="46"/>
    </row>
  </sheetData>
  <mergeCells count="3">
    <mergeCell ref="B1:D1"/>
    <mergeCell ref="G20:H20"/>
    <mergeCell ref="G21:H21"/>
  </mergeCells>
  <phoneticPr fontId="31" type="noConversion"/>
  <printOptions gridLines="1"/>
  <pageMargins left="0.75" right="0.75" top="1" bottom="1" header="0.5" footer="0.5"/>
  <pageSetup scale="63" orientation="landscape" horizontalDpi="4294967294" verticalDpi="204" r:id="rId1"/>
  <headerFooter alignWithMargins="0"/>
</worksheet>
</file>

<file path=xl/worksheets/sheet15.xml><?xml version="1.0" encoding="utf-8"?>
<worksheet xmlns="http://schemas.openxmlformats.org/spreadsheetml/2006/main" xmlns:r="http://schemas.openxmlformats.org/officeDocument/2006/relationships">
  <sheetPr>
    <pageSetUpPr fitToPage="1"/>
  </sheetPr>
  <dimension ref="A1:V27"/>
  <sheetViews>
    <sheetView zoomScale="80" zoomScaleNormal="80" workbookViewId="0">
      <selection activeCell="F28" sqref="F28"/>
    </sheetView>
  </sheetViews>
  <sheetFormatPr defaultColWidth="8.81640625" defaultRowHeight="12.5"/>
  <cols>
    <col min="2" max="2" width="54.81640625" customWidth="1"/>
    <col min="3" max="6" width="10.1796875" customWidth="1"/>
    <col min="8" max="8" width="10.453125" customWidth="1"/>
    <col min="10" max="10" width="10.1796875" customWidth="1"/>
  </cols>
  <sheetData>
    <row r="1" spans="1:22" ht="18">
      <c r="B1" s="265" t="s">
        <v>230</v>
      </c>
      <c r="C1" s="25"/>
      <c r="D1" s="25"/>
      <c r="E1" s="25"/>
      <c r="F1" s="25" t="s">
        <v>53</v>
      </c>
      <c r="G1" s="26">
        <f>MAX(F4:F17)</f>
        <v>792</v>
      </c>
      <c r="H1" s="25" t="s">
        <v>54</v>
      </c>
      <c r="I1" s="25"/>
      <c r="J1" s="25"/>
      <c r="K1" s="25"/>
      <c r="L1" s="25"/>
      <c r="M1" s="25"/>
      <c r="N1" s="25"/>
      <c r="O1" s="25"/>
      <c r="P1" s="25"/>
      <c r="Q1" s="25"/>
      <c r="R1" s="25"/>
      <c r="S1" s="25"/>
      <c r="T1" s="25"/>
      <c r="U1" s="25"/>
      <c r="V1" s="25"/>
    </row>
    <row r="2" spans="1:22">
      <c r="B2" s="122" t="s">
        <v>98</v>
      </c>
      <c r="C2" s="25"/>
      <c r="D2" s="25"/>
      <c r="E2" s="25"/>
      <c r="F2" s="25" t="s">
        <v>52</v>
      </c>
      <c r="G2" s="26">
        <f>MIN(F4:F17)</f>
        <v>575</v>
      </c>
      <c r="H2" s="25" t="s">
        <v>54</v>
      </c>
      <c r="I2" s="25"/>
      <c r="J2" s="25"/>
      <c r="K2" s="25"/>
      <c r="L2" s="25"/>
      <c r="M2" s="25"/>
      <c r="N2" s="25"/>
      <c r="O2" s="25"/>
      <c r="P2" s="25"/>
      <c r="Q2" s="25"/>
      <c r="R2" s="25"/>
      <c r="S2" s="25"/>
      <c r="T2" s="25"/>
      <c r="U2" s="25"/>
      <c r="V2" s="25"/>
    </row>
    <row r="3" spans="1:22" ht="13">
      <c r="C3" s="88" t="s">
        <v>49</v>
      </c>
      <c r="D3" s="88" t="s">
        <v>50</v>
      </c>
      <c r="E3" s="88" t="s">
        <v>51</v>
      </c>
      <c r="F3" s="36" t="s">
        <v>23</v>
      </c>
      <c r="H3" s="31"/>
      <c r="I3" s="2" t="s">
        <v>26</v>
      </c>
    </row>
    <row r="4" spans="1:22" s="303" customFormat="1" ht="15.5">
      <c r="A4" s="351">
        <v>11</v>
      </c>
      <c r="B4" s="351" t="s">
        <v>168</v>
      </c>
      <c r="C4" s="437" t="s">
        <v>308</v>
      </c>
      <c r="D4" s="437"/>
      <c r="E4" s="438"/>
      <c r="F4" s="439"/>
      <c r="G4" s="336"/>
      <c r="H4" s="440"/>
      <c r="I4" s="440"/>
    </row>
    <row r="5" spans="1:22" s="303" customFormat="1" ht="15.5">
      <c r="A5" s="351">
        <v>12</v>
      </c>
      <c r="B5" s="351" t="s">
        <v>171</v>
      </c>
      <c r="C5" s="437">
        <v>184</v>
      </c>
      <c r="D5" s="437">
        <v>191</v>
      </c>
      <c r="E5" s="441">
        <v>340</v>
      </c>
      <c r="F5" s="439">
        <f t="shared" ref="F5:F16" si="0">+C5+D5+E5</f>
        <v>715</v>
      </c>
      <c r="G5" s="442"/>
      <c r="H5" s="440"/>
      <c r="I5" s="440">
        <f t="shared" ref="I5:I16" si="1">RANK($F5,$F$4:$F$17)</f>
        <v>2</v>
      </c>
      <c r="J5" s="428"/>
    </row>
    <row r="6" spans="1:22" s="303" customFormat="1" ht="15.5">
      <c r="A6" s="351">
        <v>13</v>
      </c>
      <c r="B6" s="351" t="s">
        <v>173</v>
      </c>
      <c r="C6" s="437" t="s">
        <v>308</v>
      </c>
      <c r="D6" s="437"/>
      <c r="E6" s="441"/>
      <c r="F6" s="439"/>
      <c r="G6" s="336"/>
      <c r="H6" s="440"/>
      <c r="I6" s="440"/>
    </row>
    <row r="7" spans="1:22" s="304" customFormat="1" ht="15.5">
      <c r="A7" s="351">
        <v>14</v>
      </c>
      <c r="B7" s="351" t="s">
        <v>198</v>
      </c>
      <c r="C7" s="437">
        <v>180</v>
      </c>
      <c r="D7" s="437">
        <v>215</v>
      </c>
      <c r="E7" s="441">
        <v>397</v>
      </c>
      <c r="F7" s="439">
        <f t="shared" si="0"/>
        <v>792</v>
      </c>
      <c r="G7" s="443"/>
      <c r="H7" s="444"/>
      <c r="I7" s="440">
        <f t="shared" si="1"/>
        <v>1</v>
      </c>
      <c r="J7" s="428"/>
    </row>
    <row r="8" spans="1:22" s="304" customFormat="1" ht="15.5">
      <c r="A8" s="351">
        <v>15</v>
      </c>
      <c r="B8" s="351" t="s">
        <v>164</v>
      </c>
      <c r="C8" s="437">
        <v>160</v>
      </c>
      <c r="D8" s="437">
        <v>166</v>
      </c>
      <c r="E8" s="441">
        <v>302</v>
      </c>
      <c r="F8" s="439">
        <f t="shared" si="0"/>
        <v>628</v>
      </c>
      <c r="H8" s="444"/>
      <c r="I8" s="440">
        <f t="shared" si="1"/>
        <v>6</v>
      </c>
    </row>
    <row r="9" spans="1:22" s="446" customFormat="1" ht="15.5">
      <c r="A9" s="351">
        <v>16</v>
      </c>
      <c r="B9" s="351" t="s">
        <v>208</v>
      </c>
      <c r="C9" s="437" t="s">
        <v>308</v>
      </c>
      <c r="D9" s="437"/>
      <c r="E9" s="441"/>
      <c r="F9" s="439"/>
      <c r="G9" s="445"/>
      <c r="H9" s="440"/>
      <c r="I9" s="440"/>
    </row>
    <row r="10" spans="1:22" s="303" customFormat="1" ht="15.5">
      <c r="A10" s="351">
        <v>17</v>
      </c>
      <c r="B10" s="351" t="s">
        <v>167</v>
      </c>
      <c r="C10" s="437">
        <v>180</v>
      </c>
      <c r="D10" s="437">
        <v>181</v>
      </c>
      <c r="E10" s="441">
        <v>282</v>
      </c>
      <c r="F10" s="439">
        <f t="shared" si="0"/>
        <v>643</v>
      </c>
      <c r="G10" s="336"/>
      <c r="H10" s="440"/>
      <c r="I10" s="440">
        <f t="shared" si="1"/>
        <v>4</v>
      </c>
    </row>
    <row r="11" spans="1:22" s="303" customFormat="1" ht="15.5">
      <c r="A11" s="351">
        <v>18</v>
      </c>
      <c r="B11" s="351" t="s">
        <v>209</v>
      </c>
      <c r="C11" s="437" t="s">
        <v>308</v>
      </c>
      <c r="D11" s="437"/>
      <c r="E11" s="441"/>
      <c r="F11" s="439"/>
      <c r="G11" s="336"/>
      <c r="H11" s="440"/>
      <c r="I11" s="440"/>
    </row>
    <row r="12" spans="1:22" s="303" customFormat="1" ht="15.5">
      <c r="A12" s="351">
        <v>19</v>
      </c>
      <c r="B12" s="351" t="s">
        <v>170</v>
      </c>
      <c r="C12" s="437">
        <v>168</v>
      </c>
      <c r="D12" s="437">
        <v>173</v>
      </c>
      <c r="E12" s="441">
        <v>357</v>
      </c>
      <c r="F12" s="439">
        <f t="shared" si="0"/>
        <v>698</v>
      </c>
      <c r="G12" s="443"/>
      <c r="H12" s="440"/>
      <c r="I12" s="440">
        <f t="shared" si="1"/>
        <v>3</v>
      </c>
    </row>
    <row r="13" spans="1:22" s="303" customFormat="1" ht="15.5">
      <c r="A13" s="351">
        <v>20</v>
      </c>
      <c r="B13" s="351" t="s">
        <v>166</v>
      </c>
      <c r="C13" s="437" t="s">
        <v>308</v>
      </c>
      <c r="D13" s="437"/>
      <c r="E13" s="441"/>
      <c r="F13" s="439"/>
      <c r="G13" s="443"/>
      <c r="H13" s="440"/>
      <c r="I13" s="440"/>
    </row>
    <row r="14" spans="1:22" s="303" customFormat="1" ht="15.5">
      <c r="A14" s="351">
        <v>21</v>
      </c>
      <c r="B14" s="351" t="s">
        <v>165</v>
      </c>
      <c r="C14" s="437">
        <v>159</v>
      </c>
      <c r="D14" s="437">
        <v>160</v>
      </c>
      <c r="E14" s="441">
        <v>256</v>
      </c>
      <c r="F14" s="439">
        <f t="shared" si="0"/>
        <v>575</v>
      </c>
      <c r="G14" s="336"/>
      <c r="H14" s="440"/>
      <c r="I14" s="440">
        <f t="shared" si="1"/>
        <v>8</v>
      </c>
    </row>
    <row r="15" spans="1:22" s="303" customFormat="1" ht="15.5">
      <c r="A15" s="351">
        <v>22</v>
      </c>
      <c r="B15" s="351" t="s">
        <v>172</v>
      </c>
      <c r="C15" s="437">
        <v>147</v>
      </c>
      <c r="D15" s="437">
        <v>153</v>
      </c>
      <c r="E15" s="441">
        <v>343</v>
      </c>
      <c r="F15" s="439">
        <f t="shared" si="0"/>
        <v>643</v>
      </c>
      <c r="G15" s="336"/>
      <c r="H15" s="440"/>
      <c r="I15" s="440">
        <f t="shared" si="1"/>
        <v>4</v>
      </c>
    </row>
    <row r="16" spans="1:22" s="303" customFormat="1" ht="15.5">
      <c r="A16" s="351">
        <v>23</v>
      </c>
      <c r="B16" s="351" t="s">
        <v>210</v>
      </c>
      <c r="C16" s="437">
        <v>156</v>
      </c>
      <c r="D16" s="437">
        <v>157</v>
      </c>
      <c r="E16" s="441">
        <v>299</v>
      </c>
      <c r="F16" s="439">
        <f t="shared" si="0"/>
        <v>612</v>
      </c>
      <c r="G16" s="336"/>
      <c r="H16" s="440"/>
      <c r="I16" s="440">
        <f t="shared" si="1"/>
        <v>7</v>
      </c>
    </row>
    <row r="17" spans="1:9" s="303" customFormat="1" ht="15.5">
      <c r="A17" s="351">
        <v>26</v>
      </c>
      <c r="B17" s="351" t="s">
        <v>169</v>
      </c>
      <c r="C17" s="437" t="s">
        <v>308</v>
      </c>
      <c r="D17" s="437"/>
      <c r="E17" s="441"/>
      <c r="F17" s="439"/>
      <c r="I17" s="440"/>
    </row>
    <row r="18" spans="1:9" s="303" customFormat="1" ht="15.5">
      <c r="F18" s="447"/>
    </row>
    <row r="19" spans="1:9" s="303" customFormat="1" ht="15.5">
      <c r="F19" s="447"/>
    </row>
    <row r="20" spans="1:9" s="303" customFormat="1" ht="15.5">
      <c r="F20" s="447"/>
    </row>
    <row r="21" spans="1:9" ht="13">
      <c r="F21" s="47"/>
    </row>
    <row r="22" spans="1:9" ht="13">
      <c r="F22" s="47"/>
    </row>
    <row r="23" spans="1:9" ht="13">
      <c r="F23" s="47"/>
    </row>
    <row r="24" spans="1:9" ht="13">
      <c r="F24" s="47"/>
    </row>
    <row r="25" spans="1:9" ht="13">
      <c r="F25" s="47"/>
    </row>
    <row r="26" spans="1:9" ht="13">
      <c r="F26" s="47"/>
    </row>
    <row r="27" spans="1:9" ht="13">
      <c r="F27" s="47"/>
    </row>
  </sheetData>
  <phoneticPr fontId="31" type="noConversion"/>
  <printOptions gridLines="1"/>
  <pageMargins left="0.75" right="0.75" top="1" bottom="1" header="0.5" footer="0.5"/>
  <pageSetup scale="91" orientation="landscape"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U61"/>
  <sheetViews>
    <sheetView zoomScale="75" zoomScaleNormal="75" zoomScalePageLayoutView="85" workbookViewId="0">
      <pane xSplit="2" ySplit="3" topLeftCell="F4" activePane="bottomRight" state="frozen"/>
      <selection pane="topRight" activeCell="C1" sqref="C1"/>
      <selection pane="bottomLeft" activeCell="A3" sqref="A3"/>
      <selection pane="bottomRight" activeCell="F57" sqref="F57"/>
    </sheetView>
  </sheetViews>
  <sheetFormatPr defaultColWidth="10.81640625" defaultRowHeight="12.5"/>
  <cols>
    <col min="1" max="1" width="12.1796875" style="100" bestFit="1" customWidth="1"/>
    <col min="2" max="2" width="18.453125" style="49" customWidth="1"/>
    <col min="3" max="3" width="12.6328125" style="100" bestFit="1" customWidth="1"/>
    <col min="4" max="4" width="16.90625" style="100" customWidth="1"/>
    <col min="5" max="5" width="23.453125" style="100" customWidth="1"/>
    <col min="6" max="6" width="20.1796875" style="141" bestFit="1" customWidth="1"/>
    <col min="7" max="7" width="14.90625" style="101" customWidth="1"/>
    <col min="8" max="8" width="14.90625" style="125" customWidth="1"/>
    <col min="9" max="10" width="18.1796875" style="100" customWidth="1"/>
    <col min="11" max="11" width="14.81640625" style="111" customWidth="1"/>
    <col min="12" max="12" width="10.81640625" style="100" customWidth="1"/>
    <col min="13" max="13" width="10.81640625" style="110" customWidth="1"/>
    <col min="14" max="14" width="15.1796875" style="110" customWidth="1"/>
    <col min="15" max="16" width="19.1796875" style="190" customWidth="1"/>
    <col min="17" max="17" width="10.81640625" style="100"/>
    <col min="18" max="18" width="10.81640625" style="109"/>
    <col min="19" max="16384" width="10.81640625" style="49"/>
  </cols>
  <sheetData>
    <row r="1" spans="1:20" s="187" customFormat="1" ht="18">
      <c r="A1" s="262" t="s">
        <v>220</v>
      </c>
      <c r="C1" s="100"/>
      <c r="D1" s="100"/>
      <c r="E1" s="100"/>
      <c r="F1" s="141"/>
      <c r="G1" s="101"/>
      <c r="H1" s="125"/>
      <c r="I1" s="100"/>
      <c r="J1" s="100"/>
      <c r="K1" s="111"/>
      <c r="L1" s="100"/>
      <c r="M1" s="110"/>
      <c r="N1" s="110"/>
      <c r="O1" s="190"/>
      <c r="P1" s="190"/>
      <c r="Q1" s="100"/>
    </row>
    <row r="2" spans="1:20" s="187" customFormat="1" ht="17.5">
      <c r="A2" s="168"/>
      <c r="C2" s="160"/>
      <c r="D2" s="160"/>
      <c r="E2" s="160"/>
      <c r="F2" s="141"/>
      <c r="G2" s="450"/>
      <c r="H2" s="125"/>
      <c r="I2" s="160"/>
      <c r="J2" s="160"/>
      <c r="K2" s="125"/>
      <c r="L2" s="160"/>
      <c r="M2" s="110"/>
      <c r="N2" s="110"/>
      <c r="O2" s="190"/>
      <c r="P2" s="190"/>
      <c r="Q2" s="100"/>
    </row>
    <row r="3" spans="1:20" ht="26.5">
      <c r="A3" s="188" t="s">
        <v>141</v>
      </c>
      <c r="B3" s="188"/>
      <c r="C3" s="261">
        <v>11</v>
      </c>
      <c r="D3" s="261">
        <v>12</v>
      </c>
      <c r="E3" s="261">
        <v>13</v>
      </c>
      <c r="F3" s="261">
        <v>14</v>
      </c>
      <c r="G3" s="261">
        <v>15</v>
      </c>
      <c r="H3" s="261">
        <v>16</v>
      </c>
      <c r="I3" s="261">
        <v>17</v>
      </c>
      <c r="J3" s="261">
        <v>18</v>
      </c>
      <c r="K3" s="261">
        <v>19</v>
      </c>
      <c r="L3" s="261">
        <v>20</v>
      </c>
      <c r="M3" s="261">
        <v>21</v>
      </c>
      <c r="N3" s="261">
        <v>22</v>
      </c>
      <c r="O3" s="261">
        <v>23</v>
      </c>
      <c r="P3" s="261">
        <v>26</v>
      </c>
      <c r="R3" s="130"/>
      <c r="S3" s="102"/>
      <c r="T3" s="102"/>
    </row>
    <row r="4" spans="1:20" ht="56.5">
      <c r="A4" s="229"/>
      <c r="B4" s="188"/>
      <c r="C4" s="489" t="s">
        <v>211</v>
      </c>
      <c r="D4" s="489" t="s">
        <v>212</v>
      </c>
      <c r="E4" s="489" t="s">
        <v>213</v>
      </c>
      <c r="F4" s="489" t="s">
        <v>200</v>
      </c>
      <c r="G4" s="489" t="s">
        <v>164</v>
      </c>
      <c r="H4" s="489" t="s">
        <v>208</v>
      </c>
      <c r="I4" s="490" t="s">
        <v>214</v>
      </c>
      <c r="J4" s="489" t="s">
        <v>197</v>
      </c>
      <c r="K4" s="489" t="s">
        <v>170</v>
      </c>
      <c r="L4" s="489" t="s">
        <v>215</v>
      </c>
      <c r="M4" s="489" t="s">
        <v>216</v>
      </c>
      <c r="N4" s="489" t="s">
        <v>217</v>
      </c>
      <c r="O4" s="489" t="s">
        <v>218</v>
      </c>
      <c r="P4" s="489" t="s">
        <v>169</v>
      </c>
      <c r="Q4" s="160"/>
      <c r="R4" s="130"/>
      <c r="S4" s="159"/>
      <c r="T4" s="159"/>
    </row>
    <row r="5" spans="1:20" s="170" customFormat="1" ht="13">
      <c r="A5" s="186">
        <v>1</v>
      </c>
      <c r="B5" s="456" t="s">
        <v>242</v>
      </c>
      <c r="C5" s="453"/>
      <c r="D5" s="453">
        <v>76</v>
      </c>
      <c r="E5" s="453">
        <v>74</v>
      </c>
      <c r="F5" s="453">
        <v>84</v>
      </c>
      <c r="G5" s="453">
        <v>51</v>
      </c>
      <c r="H5" s="453">
        <v>25</v>
      </c>
      <c r="I5" s="453">
        <v>82</v>
      </c>
      <c r="J5" s="453">
        <v>61</v>
      </c>
      <c r="K5" s="453">
        <v>49</v>
      </c>
      <c r="L5" s="453">
        <v>87</v>
      </c>
      <c r="M5" s="453">
        <v>79</v>
      </c>
      <c r="N5" s="453">
        <v>47</v>
      </c>
      <c r="O5" s="454">
        <v>46</v>
      </c>
      <c r="P5" s="454">
        <v>57</v>
      </c>
      <c r="Q5" s="186">
        <f>COUNTA(C5:P5)</f>
        <v>13</v>
      </c>
      <c r="R5" s="169"/>
    </row>
    <row r="6" spans="1:20" ht="13">
      <c r="A6" s="186">
        <f>A5+1</f>
        <v>2</v>
      </c>
      <c r="B6" s="457" t="s">
        <v>243</v>
      </c>
      <c r="C6" s="453"/>
      <c r="D6" s="453"/>
      <c r="E6" s="453"/>
      <c r="F6" s="453"/>
      <c r="G6" s="453"/>
      <c r="H6" s="453">
        <v>41</v>
      </c>
      <c r="I6" s="453">
        <v>76</v>
      </c>
      <c r="J6" s="453">
        <v>87</v>
      </c>
      <c r="K6" s="453">
        <v>59</v>
      </c>
      <c r="L6" s="453"/>
      <c r="M6" s="453"/>
      <c r="N6" s="453"/>
      <c r="O6" s="454"/>
      <c r="P6" s="454"/>
      <c r="Q6" s="186">
        <f t="shared" ref="Q6:Q55" si="0">COUNTA(C6:P6)</f>
        <v>4</v>
      </c>
      <c r="R6" s="130"/>
      <c r="S6" s="102"/>
      <c r="T6" s="102"/>
    </row>
    <row r="7" spans="1:20" ht="13">
      <c r="A7" s="186">
        <f t="shared" ref="A7:A55" si="1">A6+1</f>
        <v>3</v>
      </c>
      <c r="B7" s="458" t="s">
        <v>244</v>
      </c>
      <c r="C7" s="453"/>
      <c r="D7" s="453"/>
      <c r="E7" s="453"/>
      <c r="F7" s="453"/>
      <c r="G7" s="453"/>
      <c r="H7" s="453"/>
      <c r="I7" s="453"/>
      <c r="J7" s="453"/>
      <c r="K7" s="453"/>
      <c r="L7" s="453"/>
      <c r="M7" s="453"/>
      <c r="N7" s="453"/>
      <c r="O7" s="454">
        <v>71</v>
      </c>
      <c r="P7" s="454"/>
      <c r="Q7" s="186">
        <f t="shared" si="0"/>
        <v>1</v>
      </c>
    </row>
    <row r="8" spans="1:20" ht="13">
      <c r="A8" s="186">
        <f t="shared" si="1"/>
        <v>4</v>
      </c>
      <c r="B8" s="458" t="s">
        <v>245</v>
      </c>
      <c r="C8" s="453"/>
      <c r="D8" s="453"/>
      <c r="E8" s="453"/>
      <c r="F8" s="453"/>
      <c r="G8" s="453">
        <v>52</v>
      </c>
      <c r="H8" s="453">
        <v>16</v>
      </c>
      <c r="I8" s="453">
        <v>72</v>
      </c>
      <c r="J8" s="453">
        <v>69</v>
      </c>
      <c r="K8" s="453"/>
      <c r="L8" s="453"/>
      <c r="M8" s="453"/>
      <c r="N8" s="453"/>
      <c r="O8" s="454"/>
      <c r="P8" s="454"/>
      <c r="Q8" s="186">
        <f t="shared" si="0"/>
        <v>4</v>
      </c>
      <c r="R8" s="160"/>
      <c r="S8" s="159"/>
      <c r="T8" s="159"/>
    </row>
    <row r="9" spans="1:20" ht="13">
      <c r="A9" s="186">
        <f t="shared" si="1"/>
        <v>5</v>
      </c>
      <c r="B9" s="458" t="s">
        <v>246</v>
      </c>
      <c r="C9" s="453">
        <v>18</v>
      </c>
      <c r="D9" s="453">
        <v>85</v>
      </c>
      <c r="E9" s="453">
        <v>57</v>
      </c>
      <c r="F9" s="453">
        <v>93</v>
      </c>
      <c r="G9" s="453">
        <v>31</v>
      </c>
      <c r="H9" s="453">
        <v>14</v>
      </c>
      <c r="I9" s="453">
        <v>94</v>
      </c>
      <c r="J9" s="453">
        <v>50</v>
      </c>
      <c r="K9" s="453">
        <v>33</v>
      </c>
      <c r="L9" s="453">
        <v>61</v>
      </c>
      <c r="M9" s="453">
        <v>97</v>
      </c>
      <c r="N9" s="453">
        <v>27</v>
      </c>
      <c r="O9" s="454">
        <v>35</v>
      </c>
      <c r="P9" s="454">
        <v>28</v>
      </c>
      <c r="Q9" s="186">
        <f t="shared" si="0"/>
        <v>14</v>
      </c>
      <c r="R9" s="130"/>
      <c r="S9" s="102"/>
      <c r="T9" s="122"/>
    </row>
    <row r="10" spans="1:20" s="102" customFormat="1" ht="13">
      <c r="A10" s="186">
        <f t="shared" si="1"/>
        <v>6</v>
      </c>
      <c r="B10" s="458" t="s">
        <v>247</v>
      </c>
      <c r="C10" s="453"/>
      <c r="D10" s="453">
        <v>58</v>
      </c>
      <c r="E10" s="453">
        <v>34</v>
      </c>
      <c r="F10" s="453">
        <v>65</v>
      </c>
      <c r="G10" s="453"/>
      <c r="H10" s="453"/>
      <c r="I10" s="453"/>
      <c r="J10" s="453"/>
      <c r="K10" s="453"/>
      <c r="L10" s="453"/>
      <c r="M10" s="453"/>
      <c r="N10" s="453"/>
      <c r="O10" s="454"/>
      <c r="P10" s="454"/>
      <c r="Q10" s="186">
        <f t="shared" si="0"/>
        <v>3</v>
      </c>
      <c r="R10" s="130"/>
    </row>
    <row r="11" spans="1:20" ht="13">
      <c r="A11" s="186">
        <f t="shared" si="1"/>
        <v>7</v>
      </c>
      <c r="B11" s="459" t="s">
        <v>248</v>
      </c>
      <c r="C11" s="453"/>
      <c r="D11" s="453"/>
      <c r="E11" s="453"/>
      <c r="F11" s="453"/>
      <c r="G11" s="453">
        <v>39</v>
      </c>
      <c r="H11" s="453">
        <v>30</v>
      </c>
      <c r="I11" s="453">
        <v>85</v>
      </c>
      <c r="J11" s="453">
        <v>49</v>
      </c>
      <c r="K11" s="453"/>
      <c r="L11" s="453"/>
      <c r="M11" s="453"/>
      <c r="N11" s="453"/>
      <c r="O11" s="454"/>
      <c r="P11" s="454"/>
      <c r="Q11" s="186">
        <f t="shared" si="0"/>
        <v>4</v>
      </c>
      <c r="R11" s="130"/>
      <c r="S11" s="159"/>
      <c r="T11" s="159"/>
    </row>
    <row r="12" spans="1:20" ht="13">
      <c r="A12" s="186">
        <f t="shared" si="1"/>
        <v>8</v>
      </c>
      <c r="B12" s="459" t="s">
        <v>249</v>
      </c>
      <c r="C12" s="453"/>
      <c r="D12" s="453"/>
      <c r="E12" s="453"/>
      <c r="F12" s="453"/>
      <c r="G12" s="453"/>
      <c r="H12" s="453"/>
      <c r="I12" s="453"/>
      <c r="J12" s="453"/>
      <c r="K12" s="453"/>
      <c r="L12" s="453"/>
      <c r="M12" s="453"/>
      <c r="N12" s="453"/>
      <c r="O12" s="454">
        <v>40</v>
      </c>
      <c r="P12" s="454">
        <v>49</v>
      </c>
      <c r="Q12" s="186">
        <f t="shared" si="0"/>
        <v>2</v>
      </c>
      <c r="R12" s="130"/>
      <c r="S12" s="102"/>
      <c r="T12" s="102"/>
    </row>
    <row r="13" spans="1:20" ht="13">
      <c r="A13" s="186">
        <f t="shared" si="1"/>
        <v>9</v>
      </c>
      <c r="B13" s="459" t="s">
        <v>250</v>
      </c>
      <c r="C13" s="453"/>
      <c r="D13" s="453">
        <v>61</v>
      </c>
      <c r="E13" s="453">
        <v>40</v>
      </c>
      <c r="F13" s="453">
        <v>67</v>
      </c>
      <c r="G13" s="453">
        <v>37</v>
      </c>
      <c r="H13" s="453"/>
      <c r="I13" s="453"/>
      <c r="J13" s="453">
        <v>43</v>
      </c>
      <c r="K13" s="453"/>
      <c r="L13" s="453">
        <v>71</v>
      </c>
      <c r="M13" s="453">
        <v>67</v>
      </c>
      <c r="N13" s="453">
        <v>35</v>
      </c>
      <c r="O13" s="454">
        <v>17</v>
      </c>
      <c r="P13" s="454"/>
      <c r="Q13" s="186">
        <f t="shared" si="0"/>
        <v>9</v>
      </c>
      <c r="R13" s="130"/>
      <c r="S13" s="159"/>
      <c r="T13" s="159"/>
    </row>
    <row r="14" spans="1:20" ht="13">
      <c r="A14" s="186">
        <f t="shared" si="1"/>
        <v>10</v>
      </c>
      <c r="B14" s="459" t="s">
        <v>251</v>
      </c>
      <c r="C14" s="453"/>
      <c r="D14" s="453"/>
      <c r="E14" s="453"/>
      <c r="F14" s="453"/>
      <c r="G14" s="453"/>
      <c r="H14" s="453"/>
      <c r="I14" s="453"/>
      <c r="J14" s="453"/>
      <c r="K14" s="453"/>
      <c r="L14" s="453"/>
      <c r="M14" s="453"/>
      <c r="N14" s="453"/>
      <c r="O14" s="454">
        <v>63</v>
      </c>
      <c r="P14" s="454">
        <v>91</v>
      </c>
      <c r="Q14" s="186">
        <f t="shared" si="0"/>
        <v>2</v>
      </c>
      <c r="R14" s="130"/>
      <c r="S14" s="159"/>
      <c r="T14" s="159"/>
    </row>
    <row r="15" spans="1:20" ht="13">
      <c r="A15" s="186">
        <f t="shared" si="1"/>
        <v>11</v>
      </c>
      <c r="B15" s="455" t="s">
        <v>252</v>
      </c>
      <c r="C15" s="453">
        <v>13</v>
      </c>
      <c r="D15" s="453"/>
      <c r="E15" s="453"/>
      <c r="F15" s="453"/>
      <c r="G15" s="453"/>
      <c r="H15" s="453"/>
      <c r="I15" s="453"/>
      <c r="J15" s="453"/>
      <c r="K15" s="453"/>
      <c r="L15" s="453"/>
      <c r="M15" s="453"/>
      <c r="N15" s="453"/>
      <c r="O15" s="454"/>
      <c r="P15" s="454"/>
      <c r="Q15" s="186">
        <f t="shared" si="0"/>
        <v>1</v>
      </c>
      <c r="R15" s="130"/>
      <c r="S15" s="102"/>
      <c r="T15" s="102"/>
    </row>
    <row r="16" spans="1:20" ht="13">
      <c r="A16" s="186">
        <f t="shared" si="1"/>
        <v>12</v>
      </c>
      <c r="B16" s="459" t="s">
        <v>253</v>
      </c>
      <c r="C16" s="453"/>
      <c r="D16" s="453">
        <v>87</v>
      </c>
      <c r="E16" s="453">
        <v>90</v>
      </c>
      <c r="F16" s="453">
        <v>86</v>
      </c>
      <c r="G16" s="453"/>
      <c r="H16" s="453">
        <v>34</v>
      </c>
      <c r="I16" s="453">
        <v>82</v>
      </c>
      <c r="J16" s="453">
        <v>62</v>
      </c>
      <c r="K16" s="453">
        <v>48</v>
      </c>
      <c r="L16" s="453">
        <v>97</v>
      </c>
      <c r="M16" s="453">
        <v>86</v>
      </c>
      <c r="N16" s="453">
        <v>50</v>
      </c>
      <c r="O16" s="454">
        <v>44</v>
      </c>
      <c r="P16" s="454">
        <v>66</v>
      </c>
      <c r="Q16" s="186">
        <f t="shared" si="0"/>
        <v>12</v>
      </c>
      <c r="R16" s="130"/>
      <c r="S16" s="102"/>
      <c r="T16" s="102"/>
    </row>
    <row r="17" spans="1:21" ht="13">
      <c r="A17" s="186">
        <f t="shared" si="1"/>
        <v>13</v>
      </c>
      <c r="B17" s="455" t="s">
        <v>254</v>
      </c>
      <c r="C17" s="453"/>
      <c r="D17" s="453"/>
      <c r="E17" s="453"/>
      <c r="F17" s="453"/>
      <c r="G17" s="453">
        <v>57</v>
      </c>
      <c r="H17" s="453">
        <v>20</v>
      </c>
      <c r="I17" s="453"/>
      <c r="J17" s="453"/>
      <c r="K17" s="453"/>
      <c r="L17" s="453"/>
      <c r="M17" s="453"/>
      <c r="N17" s="453"/>
      <c r="O17" s="454"/>
      <c r="P17" s="454"/>
      <c r="Q17" s="186">
        <f t="shared" si="0"/>
        <v>2</v>
      </c>
      <c r="R17" s="130"/>
      <c r="S17" s="102"/>
      <c r="T17" s="102"/>
    </row>
    <row r="18" spans="1:21" ht="13">
      <c r="A18" s="186">
        <f t="shared" si="1"/>
        <v>14</v>
      </c>
      <c r="B18" s="458" t="s">
        <v>255</v>
      </c>
      <c r="C18" s="453"/>
      <c r="D18" s="453"/>
      <c r="E18" s="453"/>
      <c r="F18" s="453"/>
      <c r="G18" s="453"/>
      <c r="H18" s="453"/>
      <c r="I18" s="453"/>
      <c r="J18" s="453"/>
      <c r="K18" s="453"/>
      <c r="L18" s="453"/>
      <c r="M18" s="453"/>
      <c r="N18" s="453">
        <v>22</v>
      </c>
      <c r="O18" s="454"/>
      <c r="P18" s="454"/>
      <c r="Q18" s="186">
        <f t="shared" si="0"/>
        <v>1</v>
      </c>
      <c r="R18" s="130"/>
      <c r="S18" s="102"/>
      <c r="T18" s="102"/>
    </row>
    <row r="19" spans="1:21" ht="13">
      <c r="A19" s="186">
        <f t="shared" si="1"/>
        <v>15</v>
      </c>
      <c r="B19" s="459" t="s">
        <v>256</v>
      </c>
      <c r="C19" s="453"/>
      <c r="D19" s="453"/>
      <c r="E19" s="453">
        <v>25</v>
      </c>
      <c r="F19" s="453"/>
      <c r="G19" s="453">
        <v>51</v>
      </c>
      <c r="H19" s="453">
        <v>10</v>
      </c>
      <c r="I19" s="453"/>
      <c r="J19" s="453"/>
      <c r="K19" s="453">
        <v>31</v>
      </c>
      <c r="L19" s="453">
        <v>83</v>
      </c>
      <c r="M19" s="453"/>
      <c r="N19" s="453">
        <v>42</v>
      </c>
      <c r="O19" s="454">
        <v>22</v>
      </c>
      <c r="P19" s="454">
        <v>41</v>
      </c>
      <c r="Q19" s="186">
        <f t="shared" si="0"/>
        <v>8</v>
      </c>
      <c r="R19" s="130"/>
      <c r="S19" s="102"/>
      <c r="T19" s="102"/>
    </row>
    <row r="20" spans="1:21" ht="13">
      <c r="A20" s="186">
        <f t="shared" si="1"/>
        <v>16</v>
      </c>
      <c r="B20" s="459" t="s">
        <v>257</v>
      </c>
      <c r="C20" s="453"/>
      <c r="D20" s="453"/>
      <c r="E20" s="453"/>
      <c r="F20" s="453"/>
      <c r="G20" s="453"/>
      <c r="H20" s="453"/>
      <c r="I20" s="453"/>
      <c r="J20" s="453"/>
      <c r="K20" s="453"/>
      <c r="L20" s="453"/>
      <c r="M20" s="453"/>
      <c r="N20" s="453"/>
      <c r="O20" s="454">
        <v>40</v>
      </c>
      <c r="P20" s="454">
        <v>41</v>
      </c>
      <c r="Q20" s="186">
        <f t="shared" si="0"/>
        <v>2</v>
      </c>
      <c r="R20" s="130"/>
      <c r="S20" s="102"/>
      <c r="T20" s="102"/>
    </row>
    <row r="21" spans="1:21" ht="13">
      <c r="A21" s="186">
        <f t="shared" si="1"/>
        <v>17</v>
      </c>
      <c r="B21" s="458" t="s">
        <v>258</v>
      </c>
      <c r="C21" s="453">
        <v>16</v>
      </c>
      <c r="D21" s="453">
        <v>52</v>
      </c>
      <c r="E21" s="453">
        <v>10</v>
      </c>
      <c r="F21" s="453">
        <v>54</v>
      </c>
      <c r="G21" s="453"/>
      <c r="H21" s="453">
        <v>25</v>
      </c>
      <c r="I21" s="453"/>
      <c r="J21" s="453">
        <v>45</v>
      </c>
      <c r="K21" s="453"/>
      <c r="L21" s="453"/>
      <c r="M21" s="453"/>
      <c r="N21" s="453"/>
      <c r="O21" s="454">
        <v>35</v>
      </c>
      <c r="P21" s="454"/>
      <c r="Q21" s="186">
        <f t="shared" si="0"/>
        <v>7</v>
      </c>
      <c r="R21" s="130"/>
      <c r="S21" s="102"/>
      <c r="T21" s="102"/>
    </row>
    <row r="22" spans="1:21" ht="13">
      <c r="A22" s="186">
        <f t="shared" si="1"/>
        <v>18</v>
      </c>
      <c r="B22" s="458" t="s">
        <v>259</v>
      </c>
      <c r="C22" s="453"/>
      <c r="D22" s="453"/>
      <c r="E22" s="453"/>
      <c r="F22" s="453"/>
      <c r="G22" s="453">
        <v>46</v>
      </c>
      <c r="H22" s="453">
        <v>14</v>
      </c>
      <c r="I22" s="453">
        <v>83</v>
      </c>
      <c r="J22" s="453">
        <v>41</v>
      </c>
      <c r="K22" s="453"/>
      <c r="L22" s="453"/>
      <c r="M22" s="453"/>
      <c r="N22" s="453"/>
      <c r="O22" s="454"/>
      <c r="P22" s="454"/>
      <c r="Q22" s="186">
        <f t="shared" si="0"/>
        <v>4</v>
      </c>
      <c r="R22" s="130"/>
      <c r="S22" s="159"/>
      <c r="T22" s="159"/>
    </row>
    <row r="23" spans="1:21" ht="13">
      <c r="A23" s="186">
        <f t="shared" si="1"/>
        <v>19</v>
      </c>
      <c r="B23" s="458" t="s">
        <v>260</v>
      </c>
      <c r="C23" s="453"/>
      <c r="D23" s="453"/>
      <c r="E23" s="453"/>
      <c r="F23" s="453"/>
      <c r="G23" s="453"/>
      <c r="H23" s="453"/>
      <c r="I23" s="453">
        <v>80</v>
      </c>
      <c r="J23" s="453">
        <v>73</v>
      </c>
      <c r="K23" s="453"/>
      <c r="L23" s="453"/>
      <c r="M23" s="453"/>
      <c r="N23" s="453"/>
      <c r="O23" s="454"/>
      <c r="P23" s="454"/>
      <c r="Q23" s="186">
        <f t="shared" si="0"/>
        <v>2</v>
      </c>
      <c r="R23" s="130"/>
      <c r="S23" s="159"/>
      <c r="T23" s="159"/>
    </row>
    <row r="24" spans="1:21" ht="13">
      <c r="A24" s="186">
        <f t="shared" si="1"/>
        <v>20</v>
      </c>
      <c r="B24" s="455" t="s">
        <v>261</v>
      </c>
      <c r="C24" s="453"/>
      <c r="D24" s="453"/>
      <c r="E24" s="453"/>
      <c r="F24" s="453"/>
      <c r="G24" s="453"/>
      <c r="H24" s="453"/>
      <c r="I24" s="453"/>
      <c r="J24" s="453"/>
      <c r="K24" s="453"/>
      <c r="L24" s="453"/>
      <c r="M24" s="453"/>
      <c r="N24" s="453"/>
      <c r="O24" s="454"/>
      <c r="P24" s="454">
        <v>83</v>
      </c>
      <c r="Q24" s="186">
        <f t="shared" si="0"/>
        <v>1</v>
      </c>
    </row>
    <row r="25" spans="1:21" ht="13">
      <c r="A25" s="186">
        <f t="shared" si="1"/>
        <v>21</v>
      </c>
      <c r="B25" s="458" t="s">
        <v>262</v>
      </c>
      <c r="C25" s="453"/>
      <c r="D25" s="453"/>
      <c r="E25" s="453"/>
      <c r="F25" s="453"/>
      <c r="G25" s="453">
        <v>56</v>
      </c>
      <c r="H25" s="453">
        <v>7</v>
      </c>
      <c r="I25" s="453">
        <v>74</v>
      </c>
      <c r="J25" s="453">
        <v>28</v>
      </c>
      <c r="K25" s="453"/>
      <c r="L25" s="453"/>
      <c r="M25" s="453">
        <v>90</v>
      </c>
      <c r="N25" s="453"/>
      <c r="O25" s="454"/>
      <c r="P25" s="454"/>
      <c r="Q25" s="186">
        <f t="shared" si="0"/>
        <v>5</v>
      </c>
      <c r="R25" s="130"/>
      <c r="S25" s="159"/>
      <c r="T25" s="159"/>
    </row>
    <row r="26" spans="1:21" ht="13">
      <c r="A26" s="186">
        <f t="shared" si="1"/>
        <v>22</v>
      </c>
      <c r="B26" s="458" t="s">
        <v>263</v>
      </c>
      <c r="C26" s="453"/>
      <c r="D26" s="453"/>
      <c r="E26" s="453"/>
      <c r="F26" s="453"/>
      <c r="G26" s="453"/>
      <c r="H26" s="453"/>
      <c r="I26" s="453"/>
      <c r="J26" s="453"/>
      <c r="K26" s="453">
        <v>43</v>
      </c>
      <c r="L26" s="453">
        <v>76</v>
      </c>
      <c r="M26" s="453">
        <v>71</v>
      </c>
      <c r="N26" s="453">
        <v>67</v>
      </c>
      <c r="O26" s="454"/>
      <c r="P26" s="454"/>
      <c r="Q26" s="186">
        <f t="shared" si="0"/>
        <v>4</v>
      </c>
    </row>
    <row r="27" spans="1:21" ht="13">
      <c r="A27" s="186">
        <f t="shared" si="1"/>
        <v>23</v>
      </c>
      <c r="B27" s="458" t="s">
        <v>264</v>
      </c>
      <c r="C27" s="453"/>
      <c r="D27" s="453"/>
      <c r="E27" s="453"/>
      <c r="F27" s="453"/>
      <c r="G27" s="453"/>
      <c r="H27" s="453"/>
      <c r="I27" s="453"/>
      <c r="J27" s="453"/>
      <c r="K27" s="453"/>
      <c r="L27" s="453"/>
      <c r="M27" s="453"/>
      <c r="N27" s="453"/>
      <c r="O27" s="454">
        <v>56</v>
      </c>
      <c r="P27" s="454">
        <v>70</v>
      </c>
      <c r="Q27" s="186">
        <f t="shared" si="0"/>
        <v>2</v>
      </c>
      <c r="R27" s="130"/>
      <c r="S27" s="102"/>
      <c r="T27" s="102"/>
    </row>
    <row r="28" spans="1:21" ht="13">
      <c r="A28" s="186">
        <f t="shared" si="1"/>
        <v>24</v>
      </c>
      <c r="B28" s="455" t="s">
        <v>265</v>
      </c>
      <c r="C28" s="453"/>
      <c r="D28" s="453">
        <v>55</v>
      </c>
      <c r="E28" s="453"/>
      <c r="F28" s="453"/>
      <c r="G28" s="453"/>
      <c r="H28" s="453"/>
      <c r="I28" s="453">
        <v>74</v>
      </c>
      <c r="J28" s="453"/>
      <c r="K28" s="453"/>
      <c r="L28" s="453"/>
      <c r="M28" s="453"/>
      <c r="N28" s="453">
        <v>42</v>
      </c>
      <c r="O28" s="454"/>
      <c r="P28" s="454"/>
      <c r="Q28" s="186">
        <f t="shared" si="0"/>
        <v>3</v>
      </c>
      <c r="R28" s="130"/>
      <c r="S28" s="102"/>
      <c r="T28" s="102"/>
    </row>
    <row r="29" spans="1:21" ht="13">
      <c r="A29" s="186">
        <f t="shared" si="1"/>
        <v>25</v>
      </c>
      <c r="B29" s="458" t="s">
        <v>266</v>
      </c>
      <c r="C29" s="453">
        <v>72</v>
      </c>
      <c r="D29" s="453"/>
      <c r="E29" s="453"/>
      <c r="F29" s="453"/>
      <c r="G29" s="453"/>
      <c r="H29" s="453"/>
      <c r="I29" s="453"/>
      <c r="J29" s="453"/>
      <c r="K29" s="453"/>
      <c r="L29" s="453">
        <v>94</v>
      </c>
      <c r="M29" s="453"/>
      <c r="N29" s="453">
        <v>87</v>
      </c>
      <c r="O29" s="454"/>
      <c r="P29" s="454"/>
      <c r="Q29" s="186">
        <f t="shared" si="0"/>
        <v>3</v>
      </c>
      <c r="R29" s="130"/>
      <c r="S29" s="102"/>
      <c r="T29" s="102"/>
    </row>
    <row r="30" spans="1:21" ht="13">
      <c r="A30" s="186">
        <f t="shared" si="1"/>
        <v>26</v>
      </c>
      <c r="B30" s="458" t="s">
        <v>267</v>
      </c>
      <c r="C30" s="453"/>
      <c r="D30" s="453">
        <v>57</v>
      </c>
      <c r="E30" s="453">
        <v>0</v>
      </c>
      <c r="F30" s="453">
        <v>26</v>
      </c>
      <c r="G30" s="453">
        <v>60</v>
      </c>
      <c r="H30" s="453"/>
      <c r="I30" s="453"/>
      <c r="J30" s="453"/>
      <c r="K30" s="453"/>
      <c r="L30" s="453"/>
      <c r="M30" s="453"/>
      <c r="N30" s="453"/>
      <c r="O30" s="454"/>
      <c r="P30" s="454"/>
      <c r="Q30" s="186">
        <f t="shared" si="0"/>
        <v>4</v>
      </c>
      <c r="R30" s="130"/>
      <c r="S30" s="102"/>
      <c r="T30" s="102"/>
      <c r="U30" s="159"/>
    </row>
    <row r="31" spans="1:21" ht="13">
      <c r="A31" s="186">
        <f t="shared" si="1"/>
        <v>27</v>
      </c>
      <c r="B31" s="458" t="s">
        <v>268</v>
      </c>
      <c r="C31" s="453"/>
      <c r="D31" s="453"/>
      <c r="E31" s="453"/>
      <c r="F31" s="453"/>
      <c r="G31" s="453"/>
      <c r="H31" s="453"/>
      <c r="I31" s="453"/>
      <c r="J31" s="453"/>
      <c r="K31" s="453"/>
      <c r="L31" s="453">
        <v>80</v>
      </c>
      <c r="M31" s="453">
        <v>77</v>
      </c>
      <c r="N31" s="453">
        <v>60</v>
      </c>
      <c r="O31" s="454">
        <v>54</v>
      </c>
      <c r="P31" s="454"/>
      <c r="Q31" s="186">
        <f t="shared" si="0"/>
        <v>4</v>
      </c>
      <c r="R31" s="130"/>
      <c r="S31" s="102"/>
      <c r="T31" s="102"/>
      <c r="U31" s="139"/>
    </row>
    <row r="32" spans="1:21" ht="13">
      <c r="A32" s="186">
        <f t="shared" si="1"/>
        <v>28</v>
      </c>
      <c r="B32" s="458" t="s">
        <v>269</v>
      </c>
      <c r="C32" s="453"/>
      <c r="D32" s="453"/>
      <c r="E32" s="453"/>
      <c r="F32" s="453"/>
      <c r="G32" s="453"/>
      <c r="H32" s="453"/>
      <c r="I32" s="453"/>
      <c r="J32" s="453"/>
      <c r="K32" s="453"/>
      <c r="L32" s="453"/>
      <c r="M32" s="453"/>
      <c r="N32" s="453"/>
      <c r="O32" s="454"/>
      <c r="P32" s="454">
        <v>86</v>
      </c>
      <c r="Q32" s="186">
        <f t="shared" si="0"/>
        <v>1</v>
      </c>
      <c r="R32" s="130"/>
      <c r="S32" s="159"/>
      <c r="T32" s="159"/>
      <c r="U32" s="139"/>
    </row>
    <row r="33" spans="1:18" ht="13">
      <c r="A33" s="186">
        <f t="shared" si="1"/>
        <v>29</v>
      </c>
      <c r="B33" s="455" t="s">
        <v>270</v>
      </c>
      <c r="C33" s="453"/>
      <c r="D33" s="453"/>
      <c r="E33" s="453">
        <v>91</v>
      </c>
      <c r="F33" s="453">
        <v>97</v>
      </c>
      <c r="G33" s="453"/>
      <c r="H33" s="453"/>
      <c r="I33" s="453"/>
      <c r="J33" s="453"/>
      <c r="K33" s="453"/>
      <c r="L33" s="453"/>
      <c r="M33" s="453"/>
      <c r="N33" s="453"/>
      <c r="O33" s="454"/>
      <c r="P33" s="454"/>
      <c r="Q33" s="186">
        <f t="shared" si="0"/>
        <v>2</v>
      </c>
    </row>
    <row r="34" spans="1:18" ht="13">
      <c r="A34" s="186">
        <f t="shared" si="1"/>
        <v>30</v>
      </c>
      <c r="B34" s="461" t="s">
        <v>271</v>
      </c>
      <c r="C34" s="453"/>
      <c r="D34" s="453"/>
      <c r="E34" s="453"/>
      <c r="F34" s="453"/>
      <c r="G34" s="453"/>
      <c r="H34" s="453"/>
      <c r="I34" s="453"/>
      <c r="J34" s="453"/>
      <c r="K34" s="453"/>
      <c r="L34" s="453"/>
      <c r="M34" s="453"/>
      <c r="N34" s="453"/>
      <c r="O34" s="454">
        <v>58</v>
      </c>
      <c r="P34" s="454">
        <v>66</v>
      </c>
      <c r="Q34" s="186">
        <f t="shared" si="0"/>
        <v>2</v>
      </c>
    </row>
    <row r="35" spans="1:18" ht="13">
      <c r="A35" s="186">
        <f t="shared" si="1"/>
        <v>31</v>
      </c>
      <c r="B35" s="458" t="s">
        <v>272</v>
      </c>
      <c r="C35" s="453"/>
      <c r="D35" s="453"/>
      <c r="E35" s="453"/>
      <c r="F35" s="453"/>
      <c r="G35" s="453"/>
      <c r="H35" s="453"/>
      <c r="I35" s="453"/>
      <c r="J35" s="453"/>
      <c r="K35" s="453"/>
      <c r="L35" s="453"/>
      <c r="M35" s="453">
        <v>85</v>
      </c>
      <c r="N35" s="453"/>
      <c r="O35" s="454"/>
      <c r="P35" s="454"/>
      <c r="Q35" s="186">
        <f t="shared" si="0"/>
        <v>1</v>
      </c>
    </row>
    <row r="36" spans="1:18" ht="13">
      <c r="A36" s="186">
        <f t="shared" si="1"/>
        <v>32</v>
      </c>
      <c r="B36" s="458" t="s">
        <v>273</v>
      </c>
      <c r="C36" s="453"/>
      <c r="D36" s="453">
        <v>84</v>
      </c>
      <c r="E36" s="453">
        <v>70</v>
      </c>
      <c r="F36" s="453">
        <v>80</v>
      </c>
      <c r="G36" s="453">
        <v>62</v>
      </c>
      <c r="H36" s="453"/>
      <c r="I36" s="453"/>
      <c r="J36" s="453"/>
      <c r="K36" s="453"/>
      <c r="L36" s="453"/>
      <c r="M36" s="453"/>
      <c r="N36" s="453"/>
      <c r="O36" s="454"/>
      <c r="P36" s="454"/>
      <c r="Q36" s="186">
        <f t="shared" si="0"/>
        <v>4</v>
      </c>
    </row>
    <row r="37" spans="1:18" ht="13">
      <c r="A37" s="186">
        <f t="shared" si="1"/>
        <v>33</v>
      </c>
      <c r="B37" s="458" t="s">
        <v>274</v>
      </c>
      <c r="C37" s="453"/>
      <c r="D37" s="453"/>
      <c r="E37" s="453"/>
      <c r="F37" s="453"/>
      <c r="G37" s="453"/>
      <c r="H37" s="453"/>
      <c r="I37" s="453"/>
      <c r="J37" s="453"/>
      <c r="K37" s="453"/>
      <c r="L37" s="453">
        <v>83</v>
      </c>
      <c r="M37" s="453">
        <v>87</v>
      </c>
      <c r="N37" s="453">
        <v>73</v>
      </c>
      <c r="O37" s="454"/>
      <c r="P37" s="454"/>
      <c r="Q37" s="186">
        <f t="shared" si="0"/>
        <v>3</v>
      </c>
    </row>
    <row r="38" spans="1:18" ht="13">
      <c r="A38" s="186">
        <f t="shared" si="1"/>
        <v>34</v>
      </c>
      <c r="B38" s="458" t="s">
        <v>305</v>
      </c>
      <c r="C38" s="453">
        <v>26</v>
      </c>
      <c r="D38" s="453">
        <v>54</v>
      </c>
      <c r="E38" s="453">
        <v>34</v>
      </c>
      <c r="F38" s="453">
        <v>66</v>
      </c>
      <c r="G38" s="453">
        <v>48</v>
      </c>
      <c r="H38" s="453">
        <v>25</v>
      </c>
      <c r="I38" s="453">
        <v>69</v>
      </c>
      <c r="J38" s="453">
        <v>56</v>
      </c>
      <c r="K38" s="453">
        <v>33</v>
      </c>
      <c r="L38" s="453">
        <v>82</v>
      </c>
      <c r="M38" s="453">
        <v>63</v>
      </c>
      <c r="N38" s="453">
        <v>39</v>
      </c>
      <c r="O38" s="454">
        <v>39</v>
      </c>
      <c r="P38" s="454">
        <v>45</v>
      </c>
      <c r="Q38" s="186">
        <f t="shared" si="0"/>
        <v>14</v>
      </c>
    </row>
    <row r="39" spans="1:18" ht="13">
      <c r="A39" s="186">
        <f t="shared" si="1"/>
        <v>35</v>
      </c>
      <c r="B39" s="458"/>
      <c r="C39" s="453"/>
      <c r="D39" s="453"/>
      <c r="E39" s="453"/>
      <c r="F39" s="453"/>
      <c r="G39" s="453"/>
      <c r="H39" s="453"/>
      <c r="I39" s="453"/>
      <c r="J39" s="453"/>
      <c r="K39" s="453"/>
      <c r="L39" s="453"/>
      <c r="M39" s="453"/>
      <c r="N39" s="453"/>
      <c r="O39" s="454"/>
      <c r="P39" s="454"/>
      <c r="Q39" s="186">
        <f t="shared" si="0"/>
        <v>0</v>
      </c>
    </row>
    <row r="40" spans="1:18" ht="13">
      <c r="A40" s="186">
        <f t="shared" si="1"/>
        <v>36</v>
      </c>
      <c r="B40" s="460"/>
      <c r="C40" s="453"/>
      <c r="D40" s="453"/>
      <c r="E40" s="453"/>
      <c r="F40" s="453"/>
      <c r="G40" s="453"/>
      <c r="H40" s="453"/>
      <c r="I40" s="453"/>
      <c r="J40" s="453"/>
      <c r="K40" s="453"/>
      <c r="L40" s="453"/>
      <c r="M40" s="453"/>
      <c r="N40" s="453"/>
      <c r="O40" s="454"/>
      <c r="P40" s="454"/>
      <c r="Q40" s="186">
        <f t="shared" si="0"/>
        <v>0</v>
      </c>
    </row>
    <row r="41" spans="1:18" s="170" customFormat="1" ht="13">
      <c r="A41" s="186">
        <f t="shared" si="1"/>
        <v>37</v>
      </c>
      <c r="B41" s="458"/>
      <c r="C41" s="453"/>
      <c r="D41" s="453"/>
      <c r="E41" s="453"/>
      <c r="F41" s="453"/>
      <c r="G41" s="453"/>
      <c r="H41" s="453"/>
      <c r="I41" s="453"/>
      <c r="J41" s="453"/>
      <c r="K41" s="453"/>
      <c r="L41" s="453"/>
      <c r="M41" s="453"/>
      <c r="N41" s="453"/>
      <c r="O41" s="454"/>
      <c r="P41" s="454"/>
      <c r="Q41" s="186">
        <f t="shared" si="0"/>
        <v>0</v>
      </c>
      <c r="R41" s="169"/>
    </row>
    <row r="42" spans="1:18" ht="13">
      <c r="A42" s="186">
        <f t="shared" si="1"/>
        <v>38</v>
      </c>
      <c r="B42" s="458"/>
      <c r="C42" s="453"/>
      <c r="D42" s="453"/>
      <c r="E42" s="453"/>
      <c r="F42" s="453"/>
      <c r="G42" s="453"/>
      <c r="H42" s="453"/>
      <c r="I42" s="453"/>
      <c r="J42" s="453"/>
      <c r="K42" s="453"/>
      <c r="L42" s="453"/>
      <c r="M42" s="453"/>
      <c r="N42" s="453"/>
      <c r="O42" s="454"/>
      <c r="P42" s="454"/>
      <c r="Q42" s="186">
        <f t="shared" si="0"/>
        <v>0</v>
      </c>
    </row>
    <row r="43" spans="1:18" ht="13">
      <c r="A43" s="186">
        <f t="shared" si="1"/>
        <v>39</v>
      </c>
      <c r="B43" s="458"/>
      <c r="C43" s="453"/>
      <c r="D43" s="453"/>
      <c r="E43" s="453"/>
      <c r="F43" s="453"/>
      <c r="G43" s="453"/>
      <c r="H43" s="453"/>
      <c r="I43" s="453"/>
      <c r="J43" s="453"/>
      <c r="K43" s="453"/>
      <c r="L43" s="453"/>
      <c r="M43" s="453"/>
      <c r="N43" s="453"/>
      <c r="O43" s="454"/>
      <c r="P43" s="454"/>
      <c r="Q43" s="186">
        <f t="shared" si="0"/>
        <v>0</v>
      </c>
    </row>
    <row r="44" spans="1:18" ht="13">
      <c r="A44" s="186">
        <f t="shared" si="1"/>
        <v>40</v>
      </c>
      <c r="B44" s="458"/>
      <c r="C44" s="453"/>
      <c r="D44" s="453"/>
      <c r="E44" s="453"/>
      <c r="F44" s="453"/>
      <c r="G44" s="453"/>
      <c r="H44" s="453"/>
      <c r="I44" s="453"/>
      <c r="J44" s="453"/>
      <c r="K44" s="453"/>
      <c r="L44" s="453"/>
      <c r="M44" s="453"/>
      <c r="N44" s="453"/>
      <c r="O44" s="454"/>
      <c r="P44" s="454"/>
      <c r="Q44" s="186">
        <f t="shared" si="0"/>
        <v>0</v>
      </c>
    </row>
    <row r="45" spans="1:18" ht="13">
      <c r="A45" s="186">
        <f t="shared" si="1"/>
        <v>41</v>
      </c>
      <c r="B45" s="458"/>
      <c r="C45" s="453"/>
      <c r="D45" s="453"/>
      <c r="E45" s="453"/>
      <c r="F45" s="453"/>
      <c r="G45" s="453"/>
      <c r="H45" s="453"/>
      <c r="I45" s="453"/>
      <c r="J45" s="453"/>
      <c r="K45" s="453"/>
      <c r="L45" s="453"/>
      <c r="M45" s="453"/>
      <c r="N45" s="453"/>
      <c r="O45" s="454"/>
      <c r="P45" s="454"/>
      <c r="Q45" s="186">
        <f t="shared" si="0"/>
        <v>0</v>
      </c>
    </row>
    <row r="46" spans="1:18" ht="13">
      <c r="A46" s="186">
        <f t="shared" si="1"/>
        <v>42</v>
      </c>
      <c r="B46" s="458"/>
      <c r="C46" s="453"/>
      <c r="D46" s="453"/>
      <c r="E46" s="453"/>
      <c r="F46" s="453"/>
      <c r="G46" s="453"/>
      <c r="H46" s="453"/>
      <c r="I46" s="453"/>
      <c r="J46" s="453"/>
      <c r="K46" s="453"/>
      <c r="L46" s="453"/>
      <c r="M46" s="453"/>
      <c r="N46" s="453"/>
      <c r="O46" s="454"/>
      <c r="P46" s="454"/>
      <c r="Q46" s="186">
        <f t="shared" si="0"/>
        <v>0</v>
      </c>
    </row>
    <row r="47" spans="1:18" s="159" customFormat="1" ht="13">
      <c r="A47" s="186">
        <f t="shared" si="1"/>
        <v>43</v>
      </c>
      <c r="B47" s="458"/>
      <c r="C47" s="453"/>
      <c r="D47" s="453"/>
      <c r="E47" s="453"/>
      <c r="F47" s="453"/>
      <c r="G47" s="453"/>
      <c r="H47" s="453"/>
      <c r="I47" s="453"/>
      <c r="J47" s="453"/>
      <c r="K47" s="453"/>
      <c r="L47" s="453"/>
      <c r="M47" s="453"/>
      <c r="N47" s="453"/>
      <c r="O47" s="454"/>
      <c r="P47" s="454"/>
      <c r="Q47" s="186">
        <f t="shared" si="0"/>
        <v>0</v>
      </c>
      <c r="R47" s="130"/>
    </row>
    <row r="48" spans="1:18" ht="13">
      <c r="A48" s="186">
        <f t="shared" si="1"/>
        <v>44</v>
      </c>
      <c r="B48" s="458"/>
      <c r="C48" s="453"/>
      <c r="D48" s="453"/>
      <c r="E48" s="453"/>
      <c r="F48" s="453"/>
      <c r="G48" s="453"/>
      <c r="H48" s="453"/>
      <c r="I48" s="453"/>
      <c r="J48" s="453"/>
      <c r="K48" s="453"/>
      <c r="L48" s="453"/>
      <c r="M48" s="453"/>
      <c r="N48" s="453"/>
      <c r="O48" s="454"/>
      <c r="P48" s="454"/>
      <c r="Q48" s="186">
        <f t="shared" si="0"/>
        <v>0</v>
      </c>
    </row>
    <row r="49" spans="1:18" ht="13">
      <c r="A49" s="186">
        <f t="shared" si="1"/>
        <v>45</v>
      </c>
      <c r="B49" s="458"/>
      <c r="C49" s="453"/>
      <c r="D49" s="453"/>
      <c r="E49" s="453"/>
      <c r="F49" s="453"/>
      <c r="G49" s="453"/>
      <c r="H49" s="453"/>
      <c r="I49" s="453"/>
      <c r="J49" s="453"/>
      <c r="K49" s="453"/>
      <c r="L49" s="453"/>
      <c r="M49" s="453"/>
      <c r="N49" s="453"/>
      <c r="O49" s="454"/>
      <c r="P49" s="454"/>
      <c r="Q49" s="186">
        <f t="shared" si="0"/>
        <v>0</v>
      </c>
    </row>
    <row r="50" spans="1:18" ht="13">
      <c r="A50" s="186">
        <f t="shared" si="1"/>
        <v>46</v>
      </c>
      <c r="B50" s="458"/>
      <c r="C50" s="453"/>
      <c r="D50" s="453"/>
      <c r="E50" s="453"/>
      <c r="F50" s="453"/>
      <c r="G50" s="453"/>
      <c r="H50" s="453"/>
      <c r="I50" s="453"/>
      <c r="J50" s="453"/>
      <c r="K50" s="453"/>
      <c r="L50" s="453"/>
      <c r="M50" s="453"/>
      <c r="N50" s="453"/>
      <c r="O50" s="454"/>
      <c r="P50" s="454"/>
      <c r="Q50" s="186">
        <f t="shared" si="0"/>
        <v>0</v>
      </c>
    </row>
    <row r="51" spans="1:18" ht="13">
      <c r="A51" s="186">
        <f t="shared" si="1"/>
        <v>47</v>
      </c>
      <c r="B51" s="458"/>
      <c r="C51" s="453"/>
      <c r="D51" s="453"/>
      <c r="E51" s="453"/>
      <c r="F51" s="453"/>
      <c r="G51" s="453"/>
      <c r="H51" s="453"/>
      <c r="I51" s="453"/>
      <c r="J51" s="453"/>
      <c r="K51" s="453"/>
      <c r="L51" s="453"/>
      <c r="M51" s="453"/>
      <c r="N51" s="453"/>
      <c r="O51" s="454"/>
      <c r="P51" s="454"/>
      <c r="Q51" s="186">
        <f t="shared" si="0"/>
        <v>0</v>
      </c>
    </row>
    <row r="52" spans="1:18" ht="13">
      <c r="A52" s="186">
        <f t="shared" si="1"/>
        <v>48</v>
      </c>
      <c r="B52" s="458"/>
      <c r="C52" s="453"/>
      <c r="D52" s="453"/>
      <c r="E52" s="453"/>
      <c r="F52" s="453"/>
      <c r="G52" s="453"/>
      <c r="H52" s="453"/>
      <c r="I52" s="453"/>
      <c r="J52" s="453"/>
      <c r="K52" s="453"/>
      <c r="L52" s="453"/>
      <c r="M52" s="453"/>
      <c r="N52" s="453"/>
      <c r="O52" s="454"/>
      <c r="P52" s="454"/>
      <c r="Q52" s="186">
        <f t="shared" si="0"/>
        <v>0</v>
      </c>
    </row>
    <row r="53" spans="1:18" ht="13">
      <c r="A53" s="186">
        <f t="shared" si="1"/>
        <v>49</v>
      </c>
      <c r="B53" s="458"/>
      <c r="C53" s="453"/>
      <c r="D53" s="453"/>
      <c r="E53" s="453"/>
      <c r="F53" s="453"/>
      <c r="G53" s="453"/>
      <c r="H53" s="453"/>
      <c r="I53" s="453"/>
      <c r="J53" s="453"/>
      <c r="K53" s="453"/>
      <c r="L53" s="453"/>
      <c r="M53" s="453"/>
      <c r="N53" s="453"/>
      <c r="O53" s="454"/>
      <c r="P53" s="454"/>
      <c r="Q53" s="186">
        <f t="shared" si="0"/>
        <v>0</v>
      </c>
    </row>
    <row r="54" spans="1:18" ht="13">
      <c r="A54" s="186">
        <f t="shared" si="1"/>
        <v>50</v>
      </c>
      <c r="B54" s="458"/>
      <c r="C54" s="451"/>
      <c r="D54" s="451"/>
      <c r="E54" s="451"/>
      <c r="F54" s="451"/>
      <c r="G54" s="451"/>
      <c r="H54" s="451"/>
      <c r="I54" s="451"/>
      <c r="J54" s="451"/>
      <c r="K54" s="451"/>
      <c r="L54" s="451"/>
      <c r="M54" s="451"/>
      <c r="N54" s="451"/>
      <c r="O54" s="452"/>
      <c r="P54" s="452"/>
      <c r="Q54" s="186">
        <f t="shared" si="0"/>
        <v>0</v>
      </c>
    </row>
    <row r="55" spans="1:18" ht="13">
      <c r="A55" s="186">
        <f t="shared" si="1"/>
        <v>51</v>
      </c>
      <c r="B55" s="458" t="s">
        <v>306</v>
      </c>
      <c r="C55" s="451">
        <f>COUNTA(C5:C38)</f>
        <v>5</v>
      </c>
      <c r="D55" s="451">
        <f t="shared" ref="D55:P55" si="2">COUNTA(D5:D38)</f>
        <v>10</v>
      </c>
      <c r="E55" s="451">
        <f t="shared" si="2"/>
        <v>11</v>
      </c>
      <c r="F55" s="451">
        <f t="shared" si="2"/>
        <v>10</v>
      </c>
      <c r="G55" s="451">
        <f t="shared" si="2"/>
        <v>12</v>
      </c>
      <c r="H55" s="451">
        <f t="shared" si="2"/>
        <v>12</v>
      </c>
      <c r="I55" s="451">
        <f t="shared" si="2"/>
        <v>11</v>
      </c>
      <c r="J55" s="451">
        <f t="shared" si="2"/>
        <v>12</v>
      </c>
      <c r="K55" s="451">
        <f t="shared" si="2"/>
        <v>7</v>
      </c>
      <c r="L55" s="451">
        <f t="shared" si="2"/>
        <v>10</v>
      </c>
      <c r="M55" s="451">
        <f t="shared" si="2"/>
        <v>10</v>
      </c>
      <c r="N55" s="451">
        <f t="shared" si="2"/>
        <v>12</v>
      </c>
      <c r="O55" s="451">
        <f t="shared" si="2"/>
        <v>14</v>
      </c>
      <c r="P55" s="451">
        <f t="shared" si="2"/>
        <v>12</v>
      </c>
      <c r="Q55" s="186">
        <f t="shared" si="0"/>
        <v>14</v>
      </c>
    </row>
    <row r="57" spans="1:18">
      <c r="A57" s="160" t="s">
        <v>65</v>
      </c>
      <c r="C57" s="171">
        <f>AVERAGE(C5:C38)</f>
        <v>29</v>
      </c>
      <c r="D57" s="171">
        <f t="shared" ref="D57:P57" si="3">AVERAGE(D5:D38)</f>
        <v>66.900000000000006</v>
      </c>
      <c r="E57" s="171">
        <f t="shared" si="3"/>
        <v>47.727272727272727</v>
      </c>
      <c r="F57" s="171">
        <f t="shared" si="3"/>
        <v>71.8</v>
      </c>
      <c r="G57" s="171">
        <f t="shared" si="3"/>
        <v>49.166666666666664</v>
      </c>
      <c r="H57" s="171">
        <f t="shared" si="3"/>
        <v>21.75</v>
      </c>
      <c r="I57" s="171">
        <f t="shared" si="3"/>
        <v>79.181818181818187</v>
      </c>
      <c r="J57" s="171">
        <f t="shared" si="3"/>
        <v>55.333333333333336</v>
      </c>
      <c r="K57" s="171">
        <f t="shared" si="3"/>
        <v>42.285714285714285</v>
      </c>
      <c r="L57" s="171">
        <f t="shared" si="3"/>
        <v>81.400000000000006</v>
      </c>
      <c r="M57" s="171">
        <f t="shared" si="3"/>
        <v>80.2</v>
      </c>
      <c r="N57" s="171">
        <f t="shared" si="3"/>
        <v>49.25</v>
      </c>
      <c r="O57" s="171">
        <f t="shared" si="3"/>
        <v>44.285714285714285</v>
      </c>
      <c r="P57" s="171">
        <f t="shared" si="3"/>
        <v>60.25</v>
      </c>
    </row>
    <row r="58" spans="1:18">
      <c r="A58" s="160" t="s">
        <v>47</v>
      </c>
      <c r="B58" s="159" t="s">
        <v>239</v>
      </c>
      <c r="C58" s="171">
        <f>IF(C57&lt;5, 5,C57)</f>
        <v>29</v>
      </c>
      <c r="D58" s="171">
        <f t="shared" ref="D58:L58" si="4">IF(D57&lt;5, 5,D57)</f>
        <v>66.900000000000006</v>
      </c>
      <c r="E58" s="171">
        <f t="shared" si="4"/>
        <v>47.727272727272727</v>
      </c>
      <c r="F58" s="171">
        <f t="shared" si="4"/>
        <v>71.8</v>
      </c>
      <c r="G58" s="171">
        <f t="shared" si="4"/>
        <v>49.166666666666664</v>
      </c>
      <c r="H58" s="171">
        <f t="shared" si="4"/>
        <v>21.75</v>
      </c>
      <c r="I58" s="171">
        <f t="shared" si="4"/>
        <v>79.181818181818187</v>
      </c>
      <c r="J58" s="171">
        <f t="shared" si="4"/>
        <v>55.333333333333336</v>
      </c>
      <c r="K58" s="171">
        <f t="shared" si="4"/>
        <v>42.285714285714285</v>
      </c>
      <c r="L58" s="171">
        <f t="shared" si="4"/>
        <v>81.400000000000006</v>
      </c>
      <c r="M58" s="171">
        <f>IF(M57&lt;5, 5,M57)</f>
        <v>80.2</v>
      </c>
      <c r="N58" s="171">
        <f>IF(N57&lt;5, 5,N57)</f>
        <v>49.25</v>
      </c>
      <c r="O58" s="171">
        <f>IF(O57&lt;5, 5,O57)</f>
        <v>44.285714285714285</v>
      </c>
      <c r="P58" s="171">
        <f>IF(P57&lt;5, 5,P57)</f>
        <v>60.25</v>
      </c>
    </row>
    <row r="59" spans="1:18">
      <c r="M59" s="100"/>
      <c r="O59" s="191"/>
      <c r="P59" s="191"/>
      <c r="R59" s="159" t="s">
        <v>115</v>
      </c>
    </row>
    <row r="60" spans="1:18">
      <c r="A60" s="160"/>
      <c r="B60" s="159" t="s">
        <v>199</v>
      </c>
      <c r="C60" s="160">
        <f>RANK(C57,$C$57:$P$57)</f>
        <v>13</v>
      </c>
      <c r="D60" s="160">
        <f t="shared" ref="D60:P60" si="5">RANK(D57,$C$57:$P$57)</f>
        <v>5</v>
      </c>
      <c r="E60" s="160">
        <f t="shared" si="5"/>
        <v>10</v>
      </c>
      <c r="F60" s="160">
        <f t="shared" si="5"/>
        <v>4</v>
      </c>
      <c r="G60" s="160">
        <f t="shared" si="5"/>
        <v>9</v>
      </c>
      <c r="H60" s="160">
        <f t="shared" si="5"/>
        <v>14</v>
      </c>
      <c r="I60" s="160">
        <f t="shared" si="5"/>
        <v>3</v>
      </c>
      <c r="J60" s="160">
        <f t="shared" si="5"/>
        <v>7</v>
      </c>
      <c r="K60" s="160">
        <f t="shared" si="5"/>
        <v>12</v>
      </c>
      <c r="L60" s="160">
        <f t="shared" si="5"/>
        <v>1</v>
      </c>
      <c r="M60" s="160">
        <f t="shared" si="5"/>
        <v>2</v>
      </c>
      <c r="N60" s="160">
        <f t="shared" si="5"/>
        <v>8</v>
      </c>
      <c r="O60" s="160">
        <f t="shared" si="5"/>
        <v>11</v>
      </c>
      <c r="P60" s="160">
        <f t="shared" si="5"/>
        <v>6</v>
      </c>
      <c r="R60" s="159" t="s">
        <v>116</v>
      </c>
    </row>
    <row r="61" spans="1:18">
      <c r="B61" s="160"/>
      <c r="C61" s="160"/>
      <c r="D61" s="160"/>
      <c r="E61" s="160"/>
      <c r="F61" s="160"/>
      <c r="G61" s="160"/>
      <c r="H61" s="160"/>
      <c r="I61" s="160"/>
      <c r="J61" s="160"/>
      <c r="K61" s="160"/>
      <c r="L61" s="160"/>
      <c r="M61" s="160"/>
      <c r="N61" s="160"/>
      <c r="O61" s="137"/>
      <c r="P61" s="137"/>
    </row>
  </sheetData>
  <phoneticPr fontId="31" type="noConversion"/>
  <printOptions gridLines="1"/>
  <pageMargins left="0.75" right="0.75" top="1" bottom="1" header="0.5" footer="0.5"/>
  <pageSetup scale="44"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D25"/>
  <sheetViews>
    <sheetView zoomScale="75" workbookViewId="0">
      <selection activeCell="C5" sqref="C5:C18"/>
    </sheetView>
  </sheetViews>
  <sheetFormatPr defaultColWidth="8.81640625" defaultRowHeight="12.5"/>
  <cols>
    <col min="2" max="2" width="53.81640625" customWidth="1"/>
    <col min="3" max="3" width="15.54296875" customWidth="1"/>
  </cols>
  <sheetData>
    <row r="1" spans="1:4" ht="18">
      <c r="B1" s="231" t="s">
        <v>221</v>
      </c>
      <c r="C1" s="6"/>
      <c r="D1" s="6"/>
    </row>
    <row r="2" spans="1:4">
      <c r="B2" s="6"/>
      <c r="C2" s="6"/>
      <c r="D2" s="6"/>
    </row>
    <row r="3" spans="1:4">
      <c r="B3" s="6"/>
      <c r="C3" s="6"/>
      <c r="D3" s="6"/>
    </row>
    <row r="4" spans="1:4" ht="13">
      <c r="B4" s="21"/>
      <c r="C4" s="20" t="s">
        <v>9</v>
      </c>
      <c r="D4" s="18"/>
    </row>
    <row r="5" spans="1:4" s="239" customFormat="1" ht="18.5">
      <c r="A5" s="346">
        <v>11</v>
      </c>
      <c r="B5" s="346" t="s">
        <v>168</v>
      </c>
      <c r="C5" s="347">
        <v>50</v>
      </c>
    </row>
    <row r="6" spans="1:4" s="239" customFormat="1" ht="18.5">
      <c r="A6" s="346">
        <v>12</v>
      </c>
      <c r="B6" s="346" t="s">
        <v>171</v>
      </c>
      <c r="C6" s="347">
        <v>50</v>
      </c>
    </row>
    <row r="7" spans="1:4" s="239" customFormat="1" ht="18.5">
      <c r="A7" s="346">
        <v>13</v>
      </c>
      <c r="B7" s="346" t="s">
        <v>173</v>
      </c>
      <c r="C7" s="347">
        <v>50</v>
      </c>
    </row>
    <row r="8" spans="1:4" s="305" customFormat="1" ht="18.5">
      <c r="A8" s="346">
        <v>14</v>
      </c>
      <c r="B8" s="346" t="s">
        <v>198</v>
      </c>
      <c r="C8" s="347">
        <v>50</v>
      </c>
    </row>
    <row r="9" spans="1:4" s="239" customFormat="1" ht="18.5">
      <c r="A9" s="346">
        <v>15</v>
      </c>
      <c r="B9" s="346" t="s">
        <v>164</v>
      </c>
      <c r="C9" s="347">
        <v>50</v>
      </c>
    </row>
    <row r="10" spans="1:4" s="239" customFormat="1" ht="18.5">
      <c r="A10" s="346">
        <v>16</v>
      </c>
      <c r="B10" s="346" t="s">
        <v>208</v>
      </c>
      <c r="C10" s="347">
        <v>50</v>
      </c>
    </row>
    <row r="11" spans="1:4" s="239" customFormat="1" ht="18.5">
      <c r="A11" s="346">
        <v>17</v>
      </c>
      <c r="B11" s="346" t="s">
        <v>167</v>
      </c>
      <c r="C11" s="347">
        <v>50</v>
      </c>
    </row>
    <row r="12" spans="1:4" s="239" customFormat="1" ht="18.5">
      <c r="A12" s="346">
        <v>18</v>
      </c>
      <c r="B12" s="346" t="s">
        <v>209</v>
      </c>
      <c r="C12" s="347">
        <v>50</v>
      </c>
    </row>
    <row r="13" spans="1:4" s="239" customFormat="1" ht="18.5">
      <c r="A13" s="346">
        <v>19</v>
      </c>
      <c r="B13" s="346" t="s">
        <v>170</v>
      </c>
      <c r="C13" s="347">
        <v>50</v>
      </c>
    </row>
    <row r="14" spans="1:4" s="344" customFormat="1" ht="18.5">
      <c r="A14" s="346">
        <v>20</v>
      </c>
      <c r="B14" s="346" t="s">
        <v>166</v>
      </c>
      <c r="C14" s="347">
        <v>50</v>
      </c>
    </row>
    <row r="15" spans="1:4" s="239" customFormat="1" ht="18.5">
      <c r="A15" s="346">
        <v>21</v>
      </c>
      <c r="B15" s="346" t="s">
        <v>165</v>
      </c>
      <c r="C15" s="347">
        <v>50</v>
      </c>
    </row>
    <row r="16" spans="1:4" s="239" customFormat="1" ht="18.5">
      <c r="A16" s="346">
        <v>22</v>
      </c>
      <c r="B16" s="346" t="s">
        <v>172</v>
      </c>
      <c r="C16" s="347">
        <v>50</v>
      </c>
    </row>
    <row r="17" spans="1:3" s="239" customFormat="1" ht="18.5">
      <c r="A17" s="346">
        <v>23</v>
      </c>
      <c r="B17" s="346" t="s">
        <v>210</v>
      </c>
      <c r="C17" s="347">
        <v>50</v>
      </c>
    </row>
    <row r="18" spans="1:3" s="239" customFormat="1" ht="18.5">
      <c r="A18" s="346">
        <v>26</v>
      </c>
      <c r="B18" s="346" t="s">
        <v>169</v>
      </c>
      <c r="C18" s="347">
        <v>50</v>
      </c>
    </row>
    <row r="19" spans="1:3" s="239" customFormat="1" ht="17.5"/>
    <row r="20" spans="1:3" s="239" customFormat="1" ht="17.5">
      <c r="B20" s="345"/>
    </row>
    <row r="21" spans="1:3">
      <c r="B21" s="19"/>
    </row>
    <row r="22" spans="1:3">
      <c r="B22" s="19"/>
      <c r="C22" s="159" t="s">
        <v>123</v>
      </c>
    </row>
    <row r="23" spans="1:3">
      <c r="B23" s="19"/>
    </row>
    <row r="24" spans="1:3">
      <c r="B24" s="19"/>
    </row>
    <row r="25" spans="1:3">
      <c r="B25" s="19"/>
    </row>
  </sheetData>
  <phoneticPr fontId="31" type="noConversion"/>
  <printOptions gridLines="1"/>
  <pageMargins left="0.75" right="0.75" top="1" bottom="1" header="0.5" footer="0.5"/>
  <pageSetup scale="97"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dimension ref="A1:P35"/>
  <sheetViews>
    <sheetView zoomScale="70" zoomScaleNormal="70" workbookViewId="0">
      <selection activeCell="I2" sqref="I1:I2"/>
    </sheetView>
  </sheetViews>
  <sheetFormatPr defaultColWidth="8.81640625" defaultRowHeight="12.5"/>
  <cols>
    <col min="2" max="2" width="54.81640625" customWidth="1"/>
    <col min="3" max="3" width="12.1796875" bestFit="1" customWidth="1"/>
    <col min="4" max="4" width="15.81640625" customWidth="1"/>
    <col min="5" max="5" width="9.1796875" hidden="1" customWidth="1"/>
    <col min="6" max="6" width="13.1796875" style="122" customWidth="1"/>
    <col min="8" max="8" width="16.453125" hidden="1" customWidth="1"/>
    <col min="9" max="9" width="18.36328125" customWidth="1"/>
    <col min="10" max="10" width="20.1796875" customWidth="1"/>
    <col min="11" max="11" width="22.81640625" customWidth="1"/>
    <col min="14" max="14" width="14" customWidth="1"/>
    <col min="15" max="15" width="94.90625" customWidth="1"/>
  </cols>
  <sheetData>
    <row r="1" spans="1:16" ht="18">
      <c r="B1" s="231" t="s">
        <v>312</v>
      </c>
      <c r="C1" s="6"/>
      <c r="D1" s="6"/>
      <c r="E1" s="6"/>
    </row>
    <row r="2" spans="1:16" s="49" customFormat="1">
      <c r="B2" s="30"/>
      <c r="C2" s="30"/>
      <c r="D2" s="30"/>
      <c r="E2" s="30"/>
      <c r="F2" s="122"/>
    </row>
    <row r="3" spans="1:16" s="49" customFormat="1">
      <c r="B3" s="30"/>
      <c r="C3" s="50"/>
      <c r="D3" s="58"/>
      <c r="E3" s="30"/>
      <c r="F3" s="122"/>
    </row>
    <row r="4" spans="1:16" s="49" customFormat="1">
      <c r="B4" s="30"/>
      <c r="C4" s="50"/>
      <c r="D4" s="58"/>
      <c r="E4" s="30"/>
      <c r="F4" s="122"/>
    </row>
    <row r="5" spans="1:16" s="49" customFormat="1" ht="18">
      <c r="B5" s="21"/>
      <c r="C5" s="21"/>
      <c r="D5" s="21"/>
      <c r="E5" s="30"/>
      <c r="F5" s="122"/>
      <c r="I5" s="161"/>
    </row>
    <row r="6" spans="1:16" s="303" customFormat="1" ht="46.5">
      <c r="B6" s="428" t="s">
        <v>97</v>
      </c>
      <c r="C6" s="428"/>
      <c r="D6" s="428" t="s">
        <v>62</v>
      </c>
      <c r="E6" s="428"/>
      <c r="F6" s="429" t="s">
        <v>117</v>
      </c>
      <c r="G6" s="429"/>
      <c r="H6" s="429"/>
      <c r="I6" s="429" t="s">
        <v>94</v>
      </c>
      <c r="J6" s="429" t="s">
        <v>95</v>
      </c>
      <c r="K6" s="429" t="s">
        <v>96</v>
      </c>
      <c r="L6" s="429"/>
      <c r="M6" s="429" t="s">
        <v>120</v>
      </c>
      <c r="N6" s="429" t="s">
        <v>26</v>
      </c>
      <c r="O6" s="475" t="s">
        <v>276</v>
      </c>
    </row>
    <row r="7" spans="1:16" s="303" customFormat="1" ht="15.5">
      <c r="A7" s="351">
        <v>11</v>
      </c>
      <c r="B7" s="351" t="s">
        <v>168</v>
      </c>
      <c r="C7" s="351"/>
      <c r="D7" s="472">
        <v>12835.71</v>
      </c>
      <c r="E7" s="430"/>
      <c r="F7" s="431">
        <f t="shared" ref="F7:F18" si="0">-($C$25*D7)+$C$26</f>
        <v>15.142690528710151</v>
      </c>
      <c r="G7" s="432"/>
      <c r="H7" s="351"/>
      <c r="I7" s="473">
        <v>5</v>
      </c>
      <c r="J7" s="473">
        <v>5</v>
      </c>
      <c r="K7" s="473">
        <v>5</v>
      </c>
      <c r="L7" s="432"/>
      <c r="M7" s="432">
        <f>IF(SUM(F7:K7)&lt;2.5,2.5,SUM(F7:K7))</f>
        <v>30.142690528710151</v>
      </c>
      <c r="N7" s="352">
        <f>RANK(M7,$M$7:$M$20)</f>
        <v>11</v>
      </c>
      <c r="O7" s="476" t="s">
        <v>277</v>
      </c>
    </row>
    <row r="8" spans="1:16" s="303" customFormat="1" ht="15.5">
      <c r="A8" s="351">
        <v>12</v>
      </c>
      <c r="B8" s="351" t="s">
        <v>171</v>
      </c>
      <c r="C8" s="351"/>
      <c r="D8" s="472">
        <v>18437.685000000001</v>
      </c>
      <c r="E8" s="433"/>
      <c r="F8" s="431">
        <f t="shared" si="0"/>
        <v>1.6156139188009462</v>
      </c>
      <c r="G8" s="432"/>
      <c r="H8" s="351"/>
      <c r="I8" s="473">
        <v>9</v>
      </c>
      <c r="J8" s="473">
        <v>8</v>
      </c>
      <c r="K8" s="473">
        <v>7</v>
      </c>
      <c r="L8" s="432"/>
      <c r="M8" s="432">
        <f t="shared" ref="M8:M16" si="1">IF(SUM(F8:K8)&lt;2.5,2.5,SUM(F8:K8))</f>
        <v>25.615613918800946</v>
      </c>
      <c r="N8" s="352">
        <f t="shared" ref="N8:N20" si="2">RANK(M8,$M$7:$M$20)</f>
        <v>12</v>
      </c>
      <c r="O8" s="476" t="s">
        <v>278</v>
      </c>
    </row>
    <row r="9" spans="1:16" s="303" customFormat="1" ht="15.5">
      <c r="A9" s="351">
        <v>13</v>
      </c>
      <c r="B9" s="351" t="s">
        <v>173</v>
      </c>
      <c r="C9" s="351"/>
      <c r="D9" s="472">
        <v>13402</v>
      </c>
      <c r="E9" s="434"/>
      <c r="F9" s="431">
        <f t="shared" si="0"/>
        <v>13.775271321479579</v>
      </c>
      <c r="G9" s="432"/>
      <c r="H9" s="351"/>
      <c r="I9" s="473">
        <v>8</v>
      </c>
      <c r="J9" s="473">
        <v>6</v>
      </c>
      <c r="K9" s="474">
        <v>9</v>
      </c>
      <c r="L9" s="432"/>
      <c r="M9" s="432">
        <f t="shared" si="1"/>
        <v>36.775271321479579</v>
      </c>
      <c r="N9" s="352">
        <f t="shared" si="2"/>
        <v>3</v>
      </c>
      <c r="O9" s="476" t="s">
        <v>279</v>
      </c>
    </row>
    <row r="10" spans="1:16" s="304" customFormat="1" ht="15.5">
      <c r="A10" s="351">
        <v>14</v>
      </c>
      <c r="B10" s="351" t="s">
        <v>198</v>
      </c>
      <c r="C10" s="351"/>
      <c r="D10" s="472">
        <v>15569</v>
      </c>
      <c r="E10" s="434"/>
      <c r="F10" s="431">
        <f t="shared" si="0"/>
        <v>8.5426212268837887</v>
      </c>
      <c r="G10" s="432"/>
      <c r="H10" s="351"/>
      <c r="I10" s="473">
        <v>10</v>
      </c>
      <c r="J10" s="473">
        <v>8</v>
      </c>
      <c r="K10" s="473">
        <v>10</v>
      </c>
      <c r="L10" s="432"/>
      <c r="M10" s="432">
        <f t="shared" si="1"/>
        <v>36.542621226883789</v>
      </c>
      <c r="N10" s="352">
        <f t="shared" si="2"/>
        <v>4</v>
      </c>
      <c r="O10" s="476" t="s">
        <v>280</v>
      </c>
    </row>
    <row r="11" spans="1:16" s="304" customFormat="1" ht="31">
      <c r="A11" s="351">
        <v>15</v>
      </c>
      <c r="B11" s="351" t="s">
        <v>164</v>
      </c>
      <c r="C11" s="351"/>
      <c r="D11" s="472">
        <v>15938.97</v>
      </c>
      <c r="E11" s="434"/>
      <c r="F11" s="431">
        <f t="shared" si="0"/>
        <v>7.6492554883062169</v>
      </c>
      <c r="G11" s="432"/>
      <c r="H11" s="351"/>
      <c r="I11" s="473">
        <v>10</v>
      </c>
      <c r="J11" s="473">
        <v>9</v>
      </c>
      <c r="K11" s="473">
        <v>8</v>
      </c>
      <c r="L11" s="432"/>
      <c r="M11" s="432">
        <f t="shared" si="1"/>
        <v>34.649255488306217</v>
      </c>
      <c r="N11" s="352">
        <f t="shared" si="2"/>
        <v>9</v>
      </c>
      <c r="O11" s="476" t="s">
        <v>281</v>
      </c>
    </row>
    <row r="12" spans="1:16" s="304" customFormat="1" ht="31">
      <c r="A12" s="351">
        <v>16</v>
      </c>
      <c r="B12" s="351" t="s">
        <v>208</v>
      </c>
      <c r="C12" s="351"/>
      <c r="D12" s="472">
        <v>19106.759999999998</v>
      </c>
      <c r="E12" s="434"/>
      <c r="F12" s="431">
        <f t="shared" si="0"/>
        <v>0</v>
      </c>
      <c r="G12" s="432"/>
      <c r="H12" s="351"/>
      <c r="I12" s="473">
        <v>10</v>
      </c>
      <c r="J12" s="473">
        <v>3</v>
      </c>
      <c r="K12" s="473">
        <v>5</v>
      </c>
      <c r="L12" s="432"/>
      <c r="M12" s="432">
        <f t="shared" si="1"/>
        <v>18</v>
      </c>
      <c r="N12" s="352">
        <f t="shared" si="2"/>
        <v>14</v>
      </c>
      <c r="O12" s="476" t="s">
        <v>282</v>
      </c>
    </row>
    <row r="13" spans="1:16" s="303" customFormat="1" ht="46.5">
      <c r="A13" s="351">
        <v>17</v>
      </c>
      <c r="B13" s="351" t="s">
        <v>167</v>
      </c>
      <c r="C13" s="351"/>
      <c r="D13" s="472">
        <v>14231.82</v>
      </c>
      <c r="E13" s="430"/>
      <c r="F13" s="431">
        <f t="shared" si="0"/>
        <v>11.771506807636719</v>
      </c>
      <c r="G13" s="432"/>
      <c r="H13" s="351"/>
      <c r="I13" s="473">
        <v>8</v>
      </c>
      <c r="J13" s="473">
        <v>8</v>
      </c>
      <c r="K13" s="473">
        <v>6</v>
      </c>
      <c r="L13" s="432"/>
      <c r="M13" s="432">
        <f t="shared" si="1"/>
        <v>33.771506807636719</v>
      </c>
      <c r="N13" s="352">
        <f t="shared" si="2"/>
        <v>10</v>
      </c>
      <c r="O13" s="476" t="s">
        <v>283</v>
      </c>
      <c r="P13" s="304"/>
    </row>
    <row r="14" spans="1:16" s="303" customFormat="1" ht="31">
      <c r="A14" s="351">
        <v>18</v>
      </c>
      <c r="B14" s="351" t="s">
        <v>209</v>
      </c>
      <c r="C14" s="351"/>
      <c r="D14" s="472">
        <v>13502</v>
      </c>
      <c r="E14" s="430"/>
      <c r="F14" s="431">
        <f t="shared" si="0"/>
        <v>13.533801543233352</v>
      </c>
      <c r="G14" s="432"/>
      <c r="H14" s="351"/>
      <c r="I14" s="473">
        <v>10</v>
      </c>
      <c r="J14" s="473">
        <v>9</v>
      </c>
      <c r="K14" s="473">
        <v>8</v>
      </c>
      <c r="L14" s="432"/>
      <c r="M14" s="432">
        <f t="shared" si="1"/>
        <v>40.533801543233352</v>
      </c>
      <c r="N14" s="352">
        <f t="shared" si="2"/>
        <v>1</v>
      </c>
      <c r="O14" s="476" t="s">
        <v>284</v>
      </c>
    </row>
    <row r="15" spans="1:16" s="303" customFormat="1" ht="15.5">
      <c r="A15" s="351">
        <v>19</v>
      </c>
      <c r="B15" s="351" t="s">
        <v>170</v>
      </c>
      <c r="C15" s="351"/>
      <c r="D15" s="472">
        <v>16792.099999999999</v>
      </c>
      <c r="E15" s="430"/>
      <c r="F15" s="431">
        <f t="shared" si="0"/>
        <v>5.5892043691541673</v>
      </c>
      <c r="G15" s="432"/>
      <c r="H15" s="351"/>
      <c r="I15" s="473">
        <v>10</v>
      </c>
      <c r="J15" s="473">
        <v>10</v>
      </c>
      <c r="K15" s="473">
        <v>10</v>
      </c>
      <c r="L15" s="432"/>
      <c r="M15" s="432">
        <f t="shared" si="1"/>
        <v>35.589204369154167</v>
      </c>
      <c r="N15" s="352">
        <f t="shared" si="2"/>
        <v>6</v>
      </c>
      <c r="O15" s="476" t="s">
        <v>285</v>
      </c>
    </row>
    <row r="16" spans="1:16" s="303" customFormat="1" ht="31">
      <c r="A16" s="351">
        <v>20</v>
      </c>
      <c r="B16" s="351" t="s">
        <v>166</v>
      </c>
      <c r="C16" s="351"/>
      <c r="D16" s="472">
        <v>14948.690000000002</v>
      </c>
      <c r="E16" s="435"/>
      <c r="F16" s="431">
        <f t="shared" si="0"/>
        <v>10.040482408322973</v>
      </c>
      <c r="G16" s="432"/>
      <c r="H16" s="351"/>
      <c r="I16" s="473">
        <v>10</v>
      </c>
      <c r="J16" s="473">
        <v>7</v>
      </c>
      <c r="K16" s="473">
        <v>10</v>
      </c>
      <c r="L16" s="432"/>
      <c r="M16" s="432">
        <f t="shared" si="1"/>
        <v>37.040482408322973</v>
      </c>
      <c r="N16" s="352">
        <f t="shared" si="2"/>
        <v>2</v>
      </c>
      <c r="O16" s="476" t="s">
        <v>286</v>
      </c>
    </row>
    <row r="17" spans="1:15" s="303" customFormat="1" ht="31">
      <c r="A17" s="351">
        <v>21</v>
      </c>
      <c r="B17" s="351" t="s">
        <v>165</v>
      </c>
      <c r="C17" s="351"/>
      <c r="D17" s="472">
        <v>10824.15</v>
      </c>
      <c r="E17" s="436"/>
      <c r="F17" s="431">
        <f t="shared" si="0"/>
        <v>19.999999999999996</v>
      </c>
      <c r="G17" s="432"/>
      <c r="H17" s="351"/>
      <c r="I17" s="473">
        <v>10</v>
      </c>
      <c r="J17" s="473">
        <v>4</v>
      </c>
      <c r="K17" s="473">
        <v>2</v>
      </c>
      <c r="L17" s="432"/>
      <c r="M17" s="432">
        <f>IF(SUM(F17:K17)&lt;2.5,2.5,SUM(F17:K17))</f>
        <v>36</v>
      </c>
      <c r="N17" s="352">
        <f t="shared" si="2"/>
        <v>5</v>
      </c>
      <c r="O17" s="476" t="s">
        <v>287</v>
      </c>
    </row>
    <row r="18" spans="1:15" s="336" customFormat="1" ht="31">
      <c r="A18" s="351">
        <v>22</v>
      </c>
      <c r="B18" s="351" t="s">
        <v>172</v>
      </c>
      <c r="C18" s="351"/>
      <c r="D18" s="472">
        <v>15620.55</v>
      </c>
      <c r="E18" s="434"/>
      <c r="F18" s="431">
        <f t="shared" si="0"/>
        <v>8.4181435561978617</v>
      </c>
      <c r="G18" s="432"/>
      <c r="H18" s="351"/>
      <c r="I18" s="473">
        <v>8</v>
      </c>
      <c r="J18" s="473">
        <v>2</v>
      </c>
      <c r="K18" s="473">
        <v>2</v>
      </c>
      <c r="L18" s="432"/>
      <c r="M18" s="432">
        <f>IF(SUM(F18:K18)&lt;2.5,2.5,SUM(F18:K18))</f>
        <v>20.418143556197862</v>
      </c>
      <c r="N18" s="352">
        <f t="shared" si="2"/>
        <v>13</v>
      </c>
      <c r="O18" s="477" t="s">
        <v>288</v>
      </c>
    </row>
    <row r="19" spans="1:15" s="336" customFormat="1" ht="15.5">
      <c r="A19" s="351">
        <v>23</v>
      </c>
      <c r="B19" s="351" t="s">
        <v>210</v>
      </c>
      <c r="C19" s="351"/>
      <c r="D19" s="472">
        <v>11955.99</v>
      </c>
      <c r="E19" s="434"/>
      <c r="F19" s="431">
        <f>-($C$25*D19)+$C$26</f>
        <v>17.266948461897876</v>
      </c>
      <c r="G19" s="432"/>
      <c r="H19" s="351"/>
      <c r="I19" s="473">
        <v>6</v>
      </c>
      <c r="J19" s="473">
        <v>6</v>
      </c>
      <c r="K19" s="473">
        <v>6</v>
      </c>
      <c r="L19" s="432"/>
      <c r="M19" s="432">
        <f>IF(SUM(F19:K19)&lt;2.5,2.5,SUM(F19:K19))</f>
        <v>35.266948461897876</v>
      </c>
      <c r="N19" s="352">
        <f t="shared" si="2"/>
        <v>7</v>
      </c>
      <c r="O19" s="476" t="s">
        <v>289</v>
      </c>
    </row>
    <row r="20" spans="1:15" s="336" customFormat="1" ht="31">
      <c r="A20" s="351">
        <v>26</v>
      </c>
      <c r="B20" s="351" t="s">
        <v>169</v>
      </c>
      <c r="C20" s="351"/>
      <c r="D20" s="472">
        <v>12476.49</v>
      </c>
      <c r="E20" s="434"/>
      <c r="F20" s="431">
        <f>-($C$25*D20)+$C$26</f>
        <v>16.010098266126253</v>
      </c>
      <c r="G20" s="432"/>
      <c r="H20" s="351"/>
      <c r="I20" s="473">
        <v>9</v>
      </c>
      <c r="J20" s="473">
        <v>5</v>
      </c>
      <c r="K20" s="473">
        <v>5</v>
      </c>
      <c r="L20" s="432"/>
      <c r="M20" s="432">
        <f>IF(SUM(F20:K20)&lt;2.5,2.5,SUM(F20:K20))</f>
        <v>35.010098266126249</v>
      </c>
      <c r="N20" s="352">
        <f t="shared" si="2"/>
        <v>8</v>
      </c>
      <c r="O20" s="476" t="s">
        <v>290</v>
      </c>
    </row>
    <row r="21" spans="1:15" ht="14.5">
      <c r="B21" s="154"/>
      <c r="C21" s="44"/>
      <c r="D21" s="160"/>
      <c r="E21" s="6"/>
      <c r="N21" s="162"/>
    </row>
    <row r="22" spans="1:15" ht="14.5">
      <c r="B22" s="165" t="s">
        <v>102</v>
      </c>
      <c r="C22" s="44"/>
      <c r="D22" s="112"/>
      <c r="E22" s="6"/>
      <c r="M22" s="159" t="s">
        <v>122</v>
      </c>
    </row>
    <row r="23" spans="1:15" ht="13">
      <c r="B23" s="89" t="s">
        <v>103</v>
      </c>
      <c r="C23" s="32"/>
      <c r="D23" s="40"/>
      <c r="E23" s="6"/>
    </row>
    <row r="24" spans="1:15" ht="13">
      <c r="B24" s="89" t="s">
        <v>104</v>
      </c>
      <c r="C24" s="32"/>
      <c r="D24" s="40"/>
      <c r="E24" s="6"/>
    </row>
    <row r="25" spans="1:15" ht="13">
      <c r="B25" s="89" t="s">
        <v>105</v>
      </c>
      <c r="C25" s="158">
        <f>20/(C28-C27)</f>
        <v>2.4146977824622919E-3</v>
      </c>
      <c r="D25" s="40"/>
      <c r="E25" s="6"/>
    </row>
    <row r="26" spans="1:15" ht="13">
      <c r="B26" s="89" t="s">
        <v>106</v>
      </c>
      <c r="C26" s="32">
        <f>20+(C25*C27)</f>
        <v>46.137051002039215</v>
      </c>
      <c r="D26" s="40"/>
      <c r="E26" s="6"/>
    </row>
    <row r="27" spans="1:15" ht="13">
      <c r="B27" s="89" t="s">
        <v>68</v>
      </c>
      <c r="C27" s="156">
        <f>MIN(D7:D20)</f>
        <v>10824.15</v>
      </c>
      <c r="D27" s="40"/>
      <c r="E27" s="6"/>
    </row>
    <row r="28" spans="1:15">
      <c r="B28" s="37" t="s">
        <v>107</v>
      </c>
      <c r="C28" s="157">
        <f>MAX(D7:D20)</f>
        <v>19106.759999999998</v>
      </c>
      <c r="D28" s="40"/>
      <c r="E28" s="6"/>
    </row>
    <row r="29" spans="1:15">
      <c r="B29" s="37" t="s">
        <v>108</v>
      </c>
      <c r="C29" s="155">
        <v>20</v>
      </c>
      <c r="D29" s="40"/>
      <c r="E29" s="6"/>
    </row>
    <row r="30" spans="1:15">
      <c r="B30" s="37"/>
      <c r="C30" s="32"/>
      <c r="D30" s="40"/>
      <c r="E30" s="6"/>
    </row>
    <row r="31" spans="1:15">
      <c r="B31" s="163" t="s">
        <v>119</v>
      </c>
      <c r="C31" s="32"/>
      <c r="D31" s="40"/>
      <c r="E31" s="6"/>
      <c r="I31" s="159" t="s">
        <v>118</v>
      </c>
    </row>
    <row r="32" spans="1:15">
      <c r="B32" s="38"/>
      <c r="C32" s="32"/>
      <c r="D32" s="40"/>
    </row>
    <row r="33" spans="2:4">
      <c r="B33" s="1"/>
      <c r="C33" s="21"/>
      <c r="D33" s="1"/>
    </row>
    <row r="34" spans="2:4">
      <c r="B34" s="1"/>
      <c r="C34" s="1"/>
      <c r="D34" s="1"/>
    </row>
    <row r="35" spans="2:4">
      <c r="B35" s="1"/>
      <c r="C35" s="1"/>
      <c r="D35" s="1"/>
    </row>
  </sheetData>
  <phoneticPr fontId="31" type="noConversion"/>
  <printOptions gridLines="1"/>
  <pageMargins left="0.75" right="0.75" top="1" bottom="1" header="0.5" footer="0.5"/>
  <pageSetup scale="60" orientation="landscape" horizontalDpi="4294967294" verticalDpi="204"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W31"/>
  <sheetViews>
    <sheetView zoomScale="50" zoomScaleNormal="50" workbookViewId="0">
      <selection activeCell="S13" sqref="S13"/>
    </sheetView>
  </sheetViews>
  <sheetFormatPr defaultColWidth="8.81640625" defaultRowHeight="12.5"/>
  <cols>
    <col min="2" max="2" width="76.1796875" customWidth="1"/>
    <col min="3" max="6" width="9" style="182" bestFit="1" customWidth="1"/>
    <col min="7" max="7" width="9" style="182" customWidth="1"/>
    <col min="8" max="13" width="9" style="182" bestFit="1" customWidth="1"/>
    <col min="14" max="17" width="7.81640625" style="182" customWidth="1"/>
    <col min="18" max="18" width="19" style="3" bestFit="1" customWidth="1"/>
    <col min="19" max="19" width="27.81640625" style="3" customWidth="1"/>
    <col min="20" max="20" width="21.54296875" style="3" customWidth="1"/>
  </cols>
  <sheetData>
    <row r="1" spans="1:23" ht="25">
      <c r="B1" s="448" t="s">
        <v>222</v>
      </c>
      <c r="C1" s="178"/>
      <c r="D1" s="178"/>
      <c r="E1" s="178"/>
      <c r="F1" s="178"/>
      <c r="G1" s="178"/>
      <c r="H1" s="178"/>
      <c r="I1" s="178"/>
      <c r="J1" s="178"/>
      <c r="K1" s="178"/>
      <c r="L1" s="178"/>
      <c r="M1" s="178"/>
      <c r="N1" s="178"/>
      <c r="O1" s="178"/>
      <c r="P1" s="178"/>
      <c r="Q1" s="178"/>
      <c r="R1" s="25"/>
      <c r="S1" s="26"/>
      <c r="T1" s="25"/>
    </row>
    <row r="2" spans="1:23" ht="20">
      <c r="B2" s="131" t="s">
        <v>41</v>
      </c>
      <c r="C2" s="179"/>
      <c r="D2" s="179"/>
      <c r="E2" s="179"/>
      <c r="F2" s="179"/>
      <c r="G2" s="179"/>
      <c r="H2" s="179"/>
      <c r="I2" s="179"/>
      <c r="J2" s="179"/>
      <c r="K2" s="179"/>
      <c r="L2" s="179"/>
      <c r="M2" s="180"/>
      <c r="N2" s="179"/>
      <c r="O2" s="181"/>
      <c r="P2" s="179"/>
      <c r="Q2" s="179"/>
      <c r="R2" s="35"/>
      <c r="S2" s="106"/>
      <c r="T2" s="35"/>
      <c r="U2" s="159"/>
    </row>
    <row r="3" spans="1:23" s="306" customFormat="1" ht="28">
      <c r="B3" s="307"/>
      <c r="C3" s="308"/>
      <c r="D3" s="308"/>
      <c r="E3" s="308"/>
      <c r="F3" s="308"/>
      <c r="G3" s="308"/>
      <c r="H3" s="308"/>
      <c r="I3" s="308"/>
      <c r="J3" s="308"/>
      <c r="K3" s="308"/>
      <c r="L3" s="308"/>
      <c r="M3" s="308"/>
      <c r="N3" s="308"/>
      <c r="O3" s="308"/>
      <c r="P3" s="308"/>
      <c r="Q3" s="308"/>
      <c r="R3" s="309" t="s">
        <v>65</v>
      </c>
      <c r="S3" s="309" t="s">
        <v>47</v>
      </c>
      <c r="T3" s="310" t="s">
        <v>26</v>
      </c>
      <c r="U3" s="311"/>
      <c r="V3" s="311"/>
      <c r="W3" s="312"/>
    </row>
    <row r="4" spans="1:23" s="313" customFormat="1" ht="28.5">
      <c r="A4" s="349">
        <v>11</v>
      </c>
      <c r="B4" s="349" t="s">
        <v>168</v>
      </c>
      <c r="C4" s="314"/>
      <c r="D4" s="315"/>
      <c r="E4" s="315"/>
      <c r="F4" s="315"/>
      <c r="G4" s="315"/>
      <c r="H4" s="315"/>
      <c r="I4" s="315"/>
      <c r="J4" s="315"/>
      <c r="K4" s="315"/>
      <c r="L4" s="315"/>
      <c r="M4" s="315"/>
      <c r="N4" s="315"/>
      <c r="O4" s="315"/>
      <c r="P4" s="315"/>
      <c r="Q4" s="316"/>
      <c r="R4" s="317"/>
      <c r="S4" s="318"/>
      <c r="T4" s="319"/>
      <c r="U4" s="320"/>
      <c r="V4" s="320"/>
      <c r="W4" s="321"/>
    </row>
    <row r="5" spans="1:23" s="313" customFormat="1" ht="28.5">
      <c r="A5" s="349">
        <v>12</v>
      </c>
      <c r="B5" s="349" t="s">
        <v>171</v>
      </c>
      <c r="C5" s="322"/>
      <c r="D5" s="323"/>
      <c r="E5" s="323"/>
      <c r="F5" s="323"/>
      <c r="G5" s="323"/>
      <c r="H5" s="323"/>
      <c r="I5" s="323"/>
      <c r="J5" s="323"/>
      <c r="K5" s="323"/>
      <c r="L5" s="323"/>
      <c r="M5" s="323"/>
      <c r="N5" s="323"/>
      <c r="O5" s="323"/>
      <c r="P5" s="323"/>
      <c r="Q5" s="316"/>
      <c r="R5" s="317"/>
      <c r="S5" s="318"/>
      <c r="T5" s="319"/>
      <c r="U5" s="320"/>
      <c r="V5" s="320"/>
      <c r="W5" s="321"/>
    </row>
    <row r="6" spans="1:23" s="313" customFormat="1" ht="28.5">
      <c r="A6" s="349">
        <v>13</v>
      </c>
      <c r="B6" s="349" t="s">
        <v>173</v>
      </c>
      <c r="C6" s="314">
        <v>33.5</v>
      </c>
      <c r="D6" s="323">
        <v>27.5</v>
      </c>
      <c r="E6" s="323">
        <v>36</v>
      </c>
      <c r="F6" s="323">
        <v>0</v>
      </c>
      <c r="G6" s="323">
        <v>0</v>
      </c>
      <c r="H6" s="323">
        <v>0</v>
      </c>
      <c r="I6" s="323">
        <v>0</v>
      </c>
      <c r="J6" s="323">
        <v>0</v>
      </c>
      <c r="K6" s="323"/>
      <c r="L6" s="323"/>
      <c r="M6" s="323"/>
      <c r="N6" s="323"/>
      <c r="O6" s="323"/>
      <c r="P6" s="323"/>
      <c r="Q6" s="316"/>
      <c r="R6" s="317">
        <f t="shared" ref="R6:R16" si="0">AVERAGE(C6:Q6)</f>
        <v>12.125</v>
      </c>
      <c r="S6" s="318">
        <f t="shared" ref="S6:S16" si="1">IF(R6&lt;2.5,2.5,R6)</f>
        <v>12.125</v>
      </c>
      <c r="T6" s="319">
        <f t="shared" ref="T6:T16" si="2">RANK(S6,$S$4:$S$17)</f>
        <v>6</v>
      </c>
      <c r="U6" s="320"/>
      <c r="V6" s="320"/>
      <c r="W6" s="321"/>
    </row>
    <row r="7" spans="1:23" s="324" customFormat="1" ht="28.5">
      <c r="A7" s="349">
        <v>14</v>
      </c>
      <c r="B7" s="349" t="s">
        <v>198</v>
      </c>
      <c r="C7" s="314">
        <v>36.5</v>
      </c>
      <c r="D7" s="323">
        <v>29.5</v>
      </c>
      <c r="E7" s="323">
        <v>28</v>
      </c>
      <c r="F7" s="323">
        <v>34</v>
      </c>
      <c r="G7" s="323">
        <v>34</v>
      </c>
      <c r="H7" s="323">
        <v>36</v>
      </c>
      <c r="I7" s="323">
        <v>29</v>
      </c>
      <c r="J7" s="323">
        <v>28</v>
      </c>
      <c r="K7" s="323">
        <v>40</v>
      </c>
      <c r="L7" s="323"/>
      <c r="M7" s="323"/>
      <c r="N7" s="323"/>
      <c r="O7" s="323"/>
      <c r="P7" s="323"/>
      <c r="Q7" s="316"/>
      <c r="R7" s="317">
        <f t="shared" si="0"/>
        <v>32.777777777777779</v>
      </c>
      <c r="S7" s="318">
        <f t="shared" si="1"/>
        <v>32.777777777777779</v>
      </c>
      <c r="T7" s="319">
        <f t="shared" si="2"/>
        <v>4</v>
      </c>
      <c r="U7" s="320"/>
      <c r="V7" s="320"/>
      <c r="W7" s="321"/>
    </row>
    <row r="8" spans="1:23" s="313" customFormat="1" ht="28.5">
      <c r="A8" s="349">
        <v>15</v>
      </c>
      <c r="B8" s="349" t="s">
        <v>164</v>
      </c>
      <c r="C8" s="314">
        <v>33.5</v>
      </c>
      <c r="D8" s="323">
        <v>38</v>
      </c>
      <c r="E8" s="323">
        <v>35.5</v>
      </c>
      <c r="F8" s="323">
        <v>33</v>
      </c>
      <c r="G8" s="323">
        <v>32.5</v>
      </c>
      <c r="H8" s="323">
        <v>17</v>
      </c>
      <c r="I8" s="323">
        <v>28.5</v>
      </c>
      <c r="J8" s="323">
        <v>34</v>
      </c>
      <c r="K8" s="323">
        <v>37.5</v>
      </c>
      <c r="L8" s="323">
        <v>39.5</v>
      </c>
      <c r="M8" s="323">
        <v>29</v>
      </c>
      <c r="N8" s="323"/>
      <c r="O8" s="323"/>
      <c r="P8" s="323"/>
      <c r="Q8" s="316"/>
      <c r="R8" s="317">
        <f t="shared" si="0"/>
        <v>32.545454545454547</v>
      </c>
      <c r="S8" s="318">
        <f t="shared" si="1"/>
        <v>32.545454545454547</v>
      </c>
      <c r="T8" s="319">
        <f t="shared" si="2"/>
        <v>5</v>
      </c>
      <c r="U8" s="320"/>
      <c r="V8" s="320"/>
      <c r="W8" s="321"/>
    </row>
    <row r="9" spans="1:23" s="313" customFormat="1" ht="28.5">
      <c r="A9" s="349">
        <v>16</v>
      </c>
      <c r="B9" s="349" t="s">
        <v>208</v>
      </c>
      <c r="C9" s="314"/>
      <c r="D9" s="323"/>
      <c r="E9" s="323"/>
      <c r="F9" s="323"/>
      <c r="G9" s="323"/>
      <c r="H9" s="323"/>
      <c r="I9" s="323"/>
      <c r="J9" s="323"/>
      <c r="K9" s="323"/>
      <c r="L9" s="323"/>
      <c r="M9" s="323"/>
      <c r="N9" s="323"/>
      <c r="O9" s="323"/>
      <c r="P9" s="323"/>
      <c r="Q9" s="316"/>
      <c r="R9" s="317"/>
      <c r="S9" s="318"/>
      <c r="T9" s="319"/>
      <c r="U9" s="320"/>
      <c r="V9" s="320"/>
      <c r="W9" s="321"/>
    </row>
    <row r="10" spans="1:23" s="313" customFormat="1" ht="28.5">
      <c r="A10" s="349">
        <v>17</v>
      </c>
      <c r="B10" s="349" t="s">
        <v>167</v>
      </c>
      <c r="C10" s="314">
        <v>40</v>
      </c>
      <c r="D10" s="323">
        <v>47.5</v>
      </c>
      <c r="E10" s="323">
        <v>40</v>
      </c>
      <c r="F10" s="323">
        <v>49.5</v>
      </c>
      <c r="G10" s="323">
        <v>46</v>
      </c>
      <c r="H10" s="323">
        <v>42.5</v>
      </c>
      <c r="I10" s="322">
        <v>50</v>
      </c>
      <c r="J10" s="323"/>
      <c r="K10" s="323"/>
      <c r="L10" s="323"/>
      <c r="M10" s="323"/>
      <c r="N10" s="323"/>
      <c r="O10" s="323"/>
      <c r="P10" s="323"/>
      <c r="Q10" s="316"/>
      <c r="R10" s="317">
        <f t="shared" si="0"/>
        <v>45.071428571428569</v>
      </c>
      <c r="S10" s="318">
        <f t="shared" si="1"/>
        <v>45.071428571428569</v>
      </c>
      <c r="T10" s="319">
        <f t="shared" si="2"/>
        <v>1</v>
      </c>
      <c r="U10" s="320"/>
      <c r="V10" s="320"/>
      <c r="W10" s="321"/>
    </row>
    <row r="11" spans="1:23" s="313" customFormat="1" ht="28.5">
      <c r="A11" s="349">
        <v>18</v>
      </c>
      <c r="B11" s="349" t="s">
        <v>209</v>
      </c>
      <c r="C11" s="314"/>
      <c r="D11" s="323"/>
      <c r="E11" s="323"/>
      <c r="F11" s="323"/>
      <c r="G11" s="323"/>
      <c r="H11" s="323"/>
      <c r="I11" s="323"/>
      <c r="J11" s="323"/>
      <c r="K11" s="323"/>
      <c r="L11" s="323"/>
      <c r="M11" s="323"/>
      <c r="N11" s="323"/>
      <c r="O11" s="323"/>
      <c r="P11" s="323"/>
      <c r="Q11" s="316"/>
      <c r="R11" s="317"/>
      <c r="S11" s="318"/>
      <c r="T11" s="319"/>
      <c r="U11" s="320"/>
      <c r="V11" s="320"/>
      <c r="W11" s="321"/>
    </row>
    <row r="12" spans="1:23" s="313" customFormat="1" ht="28.5">
      <c r="A12" s="349">
        <v>19</v>
      </c>
      <c r="B12" s="349" t="s">
        <v>170</v>
      </c>
      <c r="C12" s="314">
        <v>35.5</v>
      </c>
      <c r="D12" s="323">
        <v>35.5</v>
      </c>
      <c r="E12" s="323">
        <v>20</v>
      </c>
      <c r="F12" s="323">
        <v>34.5</v>
      </c>
      <c r="G12" s="323">
        <v>29.5</v>
      </c>
      <c r="H12" s="323">
        <v>36</v>
      </c>
      <c r="I12" s="323">
        <v>39.5</v>
      </c>
      <c r="J12" s="323">
        <v>45</v>
      </c>
      <c r="K12" s="323">
        <v>30</v>
      </c>
      <c r="L12" s="323">
        <v>40.5</v>
      </c>
      <c r="M12" s="323">
        <v>29.5</v>
      </c>
      <c r="N12" s="323"/>
      <c r="O12" s="323"/>
      <c r="P12" s="323"/>
      <c r="Q12" s="316"/>
      <c r="R12" s="317">
        <f t="shared" si="0"/>
        <v>34.136363636363633</v>
      </c>
      <c r="S12" s="318">
        <f t="shared" si="1"/>
        <v>34.136363636363633</v>
      </c>
      <c r="T12" s="319">
        <f t="shared" si="2"/>
        <v>3</v>
      </c>
      <c r="U12" s="320"/>
      <c r="V12" s="320"/>
      <c r="W12" s="321"/>
    </row>
    <row r="13" spans="1:23" s="313" customFormat="1" ht="28.5">
      <c r="A13" s="349">
        <v>20</v>
      </c>
      <c r="B13" s="349" t="s">
        <v>166</v>
      </c>
      <c r="C13" s="314"/>
      <c r="D13" s="323"/>
      <c r="E13" s="323"/>
      <c r="F13" s="323"/>
      <c r="G13" s="323"/>
      <c r="H13" s="323"/>
      <c r="I13" s="323"/>
      <c r="J13" s="323"/>
      <c r="K13" s="323"/>
      <c r="L13" s="323"/>
      <c r="M13" s="323"/>
      <c r="N13" s="323"/>
      <c r="O13" s="323"/>
      <c r="P13" s="323"/>
      <c r="Q13" s="316"/>
      <c r="R13" s="317"/>
      <c r="S13" s="318"/>
      <c r="T13" s="319"/>
      <c r="U13" s="320"/>
      <c r="V13" s="320"/>
      <c r="W13" s="321"/>
    </row>
    <row r="14" spans="1:23" s="313" customFormat="1" ht="28.5">
      <c r="A14" s="349">
        <v>21</v>
      </c>
      <c r="B14" s="349" t="s">
        <v>165</v>
      </c>
      <c r="C14" s="314"/>
      <c r="D14" s="323"/>
      <c r="E14" s="323"/>
      <c r="F14" s="323"/>
      <c r="G14" s="323"/>
      <c r="H14" s="323"/>
      <c r="I14" s="323"/>
      <c r="J14" s="323"/>
      <c r="K14" s="323"/>
      <c r="L14" s="323"/>
      <c r="M14" s="323"/>
      <c r="N14" s="323"/>
      <c r="O14" s="323"/>
      <c r="P14" s="323"/>
      <c r="Q14" s="316"/>
      <c r="R14" s="317"/>
      <c r="S14" s="318"/>
      <c r="T14" s="319"/>
      <c r="U14" s="320"/>
      <c r="V14" s="320"/>
      <c r="W14" s="321"/>
    </row>
    <row r="15" spans="1:23" s="313" customFormat="1" ht="28.5">
      <c r="A15" s="349">
        <v>22</v>
      </c>
      <c r="B15" s="349" t="s">
        <v>172</v>
      </c>
      <c r="C15" s="314"/>
      <c r="D15" s="323"/>
      <c r="E15" s="323"/>
      <c r="F15" s="323"/>
      <c r="G15" s="323"/>
      <c r="H15" s="323"/>
      <c r="I15" s="323"/>
      <c r="J15" s="323"/>
      <c r="K15" s="323"/>
      <c r="L15" s="323"/>
      <c r="M15" s="323"/>
      <c r="N15" s="323"/>
      <c r="O15" s="323"/>
      <c r="P15" s="323"/>
      <c r="Q15" s="316"/>
      <c r="R15" s="317"/>
      <c r="S15" s="318"/>
      <c r="T15" s="319"/>
      <c r="U15" s="320"/>
      <c r="V15" s="320"/>
      <c r="W15" s="321"/>
    </row>
    <row r="16" spans="1:23" s="313" customFormat="1" ht="28.5">
      <c r="A16" s="349">
        <v>23</v>
      </c>
      <c r="B16" s="349" t="s">
        <v>210</v>
      </c>
      <c r="C16" s="314">
        <v>37</v>
      </c>
      <c r="D16" s="323">
        <v>39.5</v>
      </c>
      <c r="E16" s="323">
        <v>44</v>
      </c>
      <c r="F16" s="323">
        <v>42.5</v>
      </c>
      <c r="G16" s="323">
        <v>42.5</v>
      </c>
      <c r="H16" s="323">
        <v>39</v>
      </c>
      <c r="I16" s="323">
        <v>36</v>
      </c>
      <c r="J16" s="323">
        <v>37</v>
      </c>
      <c r="K16" s="323">
        <v>39.5</v>
      </c>
      <c r="L16" s="323"/>
      <c r="M16" s="323"/>
      <c r="N16" s="323"/>
      <c r="O16" s="323"/>
      <c r="P16" s="323"/>
      <c r="Q16" s="316"/>
      <c r="R16" s="317">
        <f t="shared" si="0"/>
        <v>39.666666666666664</v>
      </c>
      <c r="S16" s="318">
        <f t="shared" si="1"/>
        <v>39.666666666666664</v>
      </c>
      <c r="T16" s="319">
        <f t="shared" si="2"/>
        <v>2</v>
      </c>
    </row>
    <row r="17" spans="1:20" s="313" customFormat="1" ht="28.5">
      <c r="A17" s="349">
        <v>26</v>
      </c>
      <c r="B17" s="349" t="s">
        <v>169</v>
      </c>
      <c r="C17" s="314"/>
      <c r="D17" s="323"/>
      <c r="E17" s="323"/>
      <c r="F17" s="323"/>
      <c r="G17" s="323"/>
      <c r="H17" s="323"/>
      <c r="I17" s="323"/>
      <c r="J17" s="323"/>
      <c r="K17" s="323"/>
      <c r="L17" s="323"/>
      <c r="M17" s="323"/>
      <c r="N17" s="323"/>
      <c r="O17" s="323"/>
      <c r="P17" s="323"/>
      <c r="Q17" s="316"/>
      <c r="R17" s="317"/>
      <c r="S17" s="318"/>
      <c r="T17" s="319"/>
    </row>
    <row r="19" spans="1:20" ht="27.5">
      <c r="Q19" s="313" t="s">
        <v>121</v>
      </c>
    </row>
    <row r="23" spans="1:20">
      <c r="C23" s="183"/>
      <c r="D23" s="183"/>
      <c r="E23" s="183"/>
      <c r="F23" s="183"/>
      <c r="G23" s="183"/>
      <c r="H23" s="183"/>
      <c r="I23" s="183"/>
      <c r="J23" s="183"/>
      <c r="K23" s="183"/>
      <c r="L23" s="183"/>
    </row>
    <row r="31" spans="1:20">
      <c r="C31" s="183"/>
      <c r="D31" s="183"/>
      <c r="E31" s="183"/>
      <c r="F31" s="183"/>
      <c r="G31" s="183"/>
      <c r="H31" s="183"/>
      <c r="I31" s="183"/>
      <c r="J31" s="183"/>
      <c r="K31" s="183"/>
      <c r="L31" s="183"/>
    </row>
  </sheetData>
  <phoneticPr fontId="31" type="noConversion"/>
  <printOptions gridLines="1"/>
  <pageMargins left="0.75" right="0.75" top="1" bottom="1" header="0.5" footer="0.5"/>
  <pageSetup scale="55" orientation="landscape" horizontalDpi="4294967293"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M24"/>
  <sheetViews>
    <sheetView zoomScaleNormal="100" workbookViewId="0">
      <selection activeCell="D28" sqref="D28"/>
    </sheetView>
  </sheetViews>
  <sheetFormatPr defaultColWidth="8.81640625" defaultRowHeight="11.5"/>
  <cols>
    <col min="1" max="1" width="8.81640625" style="494"/>
    <col min="2" max="2" width="59.81640625" style="494" customWidth="1"/>
    <col min="3" max="3" width="15.1796875" style="494" customWidth="1"/>
    <col min="4" max="4" width="13.81640625" style="587" bestFit="1" customWidth="1"/>
    <col min="5" max="5" width="10.1796875" style="494" customWidth="1"/>
    <col min="6" max="6" width="12.453125" style="494" customWidth="1"/>
    <col min="7" max="7" width="17" style="494" customWidth="1"/>
    <col min="8" max="8" width="10.81640625" style="589" customWidth="1"/>
    <col min="9" max="9" width="58.08984375" style="499" bestFit="1" customWidth="1"/>
    <col min="10" max="10" width="41.81640625" style="494" customWidth="1"/>
    <col min="11" max="16384" width="8.81640625" style="494"/>
  </cols>
  <sheetData>
    <row r="1" spans="1:13">
      <c r="B1" s="519" t="s">
        <v>223</v>
      </c>
      <c r="F1" s="588"/>
      <c r="G1" s="588"/>
    </row>
    <row r="2" spans="1:13" ht="12">
      <c r="B2" s="590"/>
      <c r="C2" s="590"/>
      <c r="D2" s="520"/>
      <c r="E2" s="521" t="s">
        <v>0</v>
      </c>
      <c r="F2" s="591">
        <f>MAX(E10:E23)</f>
        <v>17.868336279665733</v>
      </c>
      <c r="G2" s="521" t="s">
        <v>11</v>
      </c>
      <c r="H2" s="184" t="s">
        <v>176</v>
      </c>
      <c r="J2" s="48"/>
    </row>
    <row r="3" spans="1:13" ht="12">
      <c r="B3" s="521"/>
      <c r="C3" s="521"/>
      <c r="D3" s="592"/>
      <c r="E3" s="521" t="s">
        <v>1</v>
      </c>
      <c r="F3" s="591">
        <f>MIN(E10:E23)</f>
        <v>10.872428346440678</v>
      </c>
      <c r="G3" s="521" t="s">
        <v>11</v>
      </c>
      <c r="H3" s="184" t="s">
        <v>177</v>
      </c>
      <c r="J3" s="48"/>
    </row>
    <row r="4" spans="1:13" ht="12">
      <c r="B4" s="519"/>
      <c r="C4" s="519"/>
      <c r="D4" s="593"/>
      <c r="E4" s="521" t="s">
        <v>13</v>
      </c>
      <c r="F4" s="594">
        <v>100.1</v>
      </c>
      <c r="G4" s="521" t="s">
        <v>12</v>
      </c>
      <c r="H4" s="184" t="s">
        <v>27</v>
      </c>
      <c r="J4" s="48"/>
    </row>
    <row r="5" spans="1:13" ht="12">
      <c r="B5" s="519"/>
      <c r="C5" s="519"/>
      <c r="D5" s="593"/>
      <c r="E5" s="521" t="s">
        <v>109</v>
      </c>
      <c r="F5" s="594"/>
      <c r="G5" s="521"/>
      <c r="H5" s="184"/>
      <c r="J5" s="48"/>
    </row>
    <row r="6" spans="1:13" ht="12">
      <c r="B6" s="519"/>
      <c r="C6" s="519"/>
      <c r="D6" s="593"/>
      <c r="E6" s="521" t="s">
        <v>110</v>
      </c>
      <c r="F6" s="594">
        <f>100/(F2-F3)</f>
        <v>14.294070327180654</v>
      </c>
      <c r="G6" s="521"/>
      <c r="H6" s="184"/>
      <c r="J6" s="48"/>
    </row>
    <row r="7" spans="1:13" ht="12">
      <c r="B7" s="519"/>
      <c r="C7" s="519"/>
      <c r="D7" s="593"/>
      <c r="E7" s="521" t="s">
        <v>111</v>
      </c>
      <c r="F7" s="594">
        <f>-(F6*F3)</f>
        <v>-155.41125541125552</v>
      </c>
      <c r="G7" s="521"/>
      <c r="H7" s="184"/>
      <c r="J7" s="48"/>
    </row>
    <row r="8" spans="1:13" ht="3" customHeight="1">
      <c r="B8" s="532"/>
      <c r="C8" s="532"/>
      <c r="D8" s="594"/>
      <c r="E8" s="532"/>
      <c r="F8" s="521"/>
      <c r="G8" s="521"/>
      <c r="I8" s="545"/>
      <c r="J8" s="595"/>
      <c r="K8" s="595"/>
    </row>
    <row r="9" spans="1:13" ht="54" customHeight="1">
      <c r="B9" s="596"/>
      <c r="C9" s="597" t="s">
        <v>313</v>
      </c>
      <c r="D9" s="598" t="s">
        <v>46</v>
      </c>
      <c r="E9" s="599" t="s">
        <v>10</v>
      </c>
      <c r="F9" s="600" t="s">
        <v>114</v>
      </c>
      <c r="G9" s="600" t="s">
        <v>26</v>
      </c>
      <c r="H9" s="99" t="s">
        <v>61</v>
      </c>
      <c r="I9" s="531" t="s">
        <v>124</v>
      </c>
      <c r="J9" s="599"/>
      <c r="K9" s="600"/>
      <c r="M9" s="601" t="s">
        <v>41</v>
      </c>
    </row>
    <row r="10" spans="1:13">
      <c r="A10" s="506">
        <v>11</v>
      </c>
      <c r="B10" s="506" t="s">
        <v>168</v>
      </c>
      <c r="C10" s="586" t="s">
        <v>149</v>
      </c>
      <c r="D10" s="602"/>
      <c r="E10" s="603"/>
      <c r="F10" s="576"/>
      <c r="G10" s="604"/>
      <c r="H10" s="509"/>
      <c r="I10" s="605"/>
      <c r="J10" s="606"/>
      <c r="K10" s="521"/>
      <c r="M10" s="587" t="s">
        <v>41</v>
      </c>
    </row>
    <row r="11" spans="1:13">
      <c r="A11" s="506">
        <v>12</v>
      </c>
      <c r="B11" s="506" t="s">
        <v>171</v>
      </c>
      <c r="C11" s="586" t="s">
        <v>149</v>
      </c>
      <c r="D11" s="607"/>
      <c r="E11" s="603"/>
      <c r="F11" s="576">
        <v>5</v>
      </c>
      <c r="G11" s="604">
        <f t="shared" ref="G11:G22" si="0">RANK(F11,$F$10:$F$23)</f>
        <v>7</v>
      </c>
      <c r="H11" s="509">
        <v>4</v>
      </c>
      <c r="I11" s="608" t="s">
        <v>240</v>
      </c>
      <c r="J11" s="609"/>
      <c r="K11" s="521"/>
      <c r="M11" s="587"/>
    </row>
    <row r="12" spans="1:13">
      <c r="A12" s="506">
        <v>13</v>
      </c>
      <c r="B12" s="506" t="s">
        <v>173</v>
      </c>
      <c r="C12" s="586" t="s">
        <v>149</v>
      </c>
      <c r="D12" s="607"/>
      <c r="E12" s="603"/>
      <c r="F12" s="576"/>
      <c r="G12" s="604"/>
      <c r="H12" s="509"/>
      <c r="I12" s="539"/>
      <c r="J12" s="609"/>
      <c r="K12" s="521"/>
      <c r="M12" s="587"/>
    </row>
    <row r="13" spans="1:13" s="500" customFormat="1">
      <c r="A13" s="506">
        <v>14</v>
      </c>
      <c r="B13" s="506" t="s">
        <v>198</v>
      </c>
      <c r="C13" s="586" t="s">
        <v>149</v>
      </c>
      <c r="D13" s="607">
        <v>6.1326483409610155</v>
      </c>
      <c r="E13" s="603">
        <f t="shared" ref="E13:E22" si="1">$F$4/D13</f>
        <v>16.322475125699746</v>
      </c>
      <c r="F13" s="576">
        <f t="shared" ref="F13:F22" si="2">100+($F$6*E13)+$F$7</f>
        <v>177.90335194915355</v>
      </c>
      <c r="G13" s="604">
        <f t="shared" si="0"/>
        <v>2</v>
      </c>
      <c r="H13" s="509">
        <f>+F4</f>
        <v>100.1</v>
      </c>
      <c r="I13" s="605"/>
      <c r="J13" s="609"/>
      <c r="K13" s="610"/>
      <c r="M13" s="611"/>
    </row>
    <row r="14" spans="1:13" s="500" customFormat="1">
      <c r="A14" s="506">
        <v>15</v>
      </c>
      <c r="B14" s="506" t="s">
        <v>164</v>
      </c>
      <c r="C14" s="586" t="s">
        <v>149</v>
      </c>
      <c r="D14" s="607">
        <v>6.9128834988440957</v>
      </c>
      <c r="E14" s="603">
        <f t="shared" si="1"/>
        <v>14.480209310158015</v>
      </c>
      <c r="F14" s="576">
        <f t="shared" si="2"/>
        <v>151.56987482043917</v>
      </c>
      <c r="G14" s="604">
        <f t="shared" si="0"/>
        <v>4</v>
      </c>
      <c r="H14" s="509">
        <f>F4</f>
        <v>100.1</v>
      </c>
      <c r="I14" s="539"/>
      <c r="J14" s="609"/>
      <c r="K14" s="610"/>
      <c r="M14" s="611" t="s">
        <v>41</v>
      </c>
    </row>
    <row r="15" spans="1:13">
      <c r="A15" s="506">
        <v>16</v>
      </c>
      <c r="B15" s="506" t="s">
        <v>208</v>
      </c>
      <c r="C15" s="586" t="s">
        <v>149</v>
      </c>
      <c r="D15" s="607" t="s">
        <v>41</v>
      </c>
      <c r="E15" s="603"/>
      <c r="F15" s="576"/>
      <c r="G15" s="604"/>
      <c r="H15" s="509"/>
      <c r="I15" s="605"/>
      <c r="J15" s="609"/>
      <c r="K15" s="521"/>
      <c r="M15" s="587"/>
    </row>
    <row r="16" spans="1:13" ht="18.5" customHeight="1">
      <c r="A16" s="506">
        <v>17</v>
      </c>
      <c r="B16" s="506" t="s">
        <v>167</v>
      </c>
      <c r="C16" s="586" t="s">
        <v>149</v>
      </c>
      <c r="D16" s="607">
        <v>5.6020884336005219</v>
      </c>
      <c r="E16" s="603">
        <f t="shared" si="1"/>
        <v>17.868336279665733</v>
      </c>
      <c r="F16" s="576">
        <f t="shared" si="2"/>
        <v>200</v>
      </c>
      <c r="G16" s="604">
        <f t="shared" si="0"/>
        <v>1</v>
      </c>
      <c r="H16" s="509">
        <f>F4</f>
        <v>100.1</v>
      </c>
      <c r="I16" s="605"/>
      <c r="J16" s="609"/>
      <c r="K16" s="521"/>
      <c r="M16" s="587" t="s">
        <v>41</v>
      </c>
    </row>
    <row r="17" spans="1:11">
      <c r="A17" s="506">
        <v>18</v>
      </c>
      <c r="B17" s="506" t="s">
        <v>209</v>
      </c>
      <c r="C17" s="586" t="s">
        <v>149</v>
      </c>
      <c r="D17" s="607" t="s">
        <v>41</v>
      </c>
      <c r="E17" s="603"/>
      <c r="F17" s="576"/>
      <c r="G17" s="604"/>
      <c r="H17" s="509"/>
      <c r="I17" s="605"/>
      <c r="J17" s="606"/>
      <c r="K17" s="521"/>
    </row>
    <row r="18" spans="1:11">
      <c r="A18" s="506">
        <v>19</v>
      </c>
      <c r="B18" s="506" t="s">
        <v>170</v>
      </c>
      <c r="C18" s="586" t="s">
        <v>149</v>
      </c>
      <c r="D18" s="607">
        <v>9.206774863020355</v>
      </c>
      <c r="E18" s="603">
        <f t="shared" si="1"/>
        <v>10.872428346440678</v>
      </c>
      <c r="F18" s="576">
        <f t="shared" si="2"/>
        <v>100</v>
      </c>
      <c r="G18" s="604">
        <f t="shared" si="0"/>
        <v>6</v>
      </c>
      <c r="H18" s="509">
        <f>F4</f>
        <v>100.1</v>
      </c>
      <c r="I18" s="605"/>
      <c r="J18" s="606"/>
      <c r="K18" s="521"/>
    </row>
    <row r="19" spans="1:11">
      <c r="A19" s="506">
        <v>20</v>
      </c>
      <c r="B19" s="506" t="s">
        <v>166</v>
      </c>
      <c r="C19" s="586" t="s">
        <v>149</v>
      </c>
      <c r="D19" s="607" t="s">
        <v>41</v>
      </c>
      <c r="E19" s="603"/>
      <c r="F19" s="576"/>
      <c r="G19" s="604"/>
      <c r="H19" s="509"/>
      <c r="I19" s="605"/>
      <c r="J19" s="606"/>
      <c r="K19" s="521"/>
    </row>
    <row r="20" spans="1:11">
      <c r="A20" s="506">
        <v>21</v>
      </c>
      <c r="B20" s="506" t="s">
        <v>165</v>
      </c>
      <c r="C20" s="586" t="s">
        <v>149</v>
      </c>
      <c r="D20" s="607">
        <v>7.1547563977878514</v>
      </c>
      <c r="E20" s="603">
        <f t="shared" si="1"/>
        <v>13.990692964885497</v>
      </c>
      <c r="F20" s="576">
        <f t="shared" si="2"/>
        <v>144.57269375480939</v>
      </c>
      <c r="G20" s="604">
        <f t="shared" si="0"/>
        <v>5</v>
      </c>
      <c r="H20" s="509">
        <f>F4</f>
        <v>100.1</v>
      </c>
      <c r="I20" s="605"/>
      <c r="K20" s="521"/>
    </row>
    <row r="21" spans="1:11">
      <c r="A21" s="506">
        <v>22</v>
      </c>
      <c r="B21" s="506" t="s">
        <v>172</v>
      </c>
      <c r="C21" s="586" t="s">
        <v>149</v>
      </c>
      <c r="D21" s="602" t="s">
        <v>41</v>
      </c>
      <c r="E21" s="603"/>
      <c r="F21" s="576"/>
      <c r="G21" s="604"/>
      <c r="H21" s="509">
        <v>0</v>
      </c>
      <c r="I21" s="608" t="s">
        <v>241</v>
      </c>
      <c r="J21" s="606"/>
      <c r="K21" s="521"/>
    </row>
    <row r="22" spans="1:11">
      <c r="A22" s="506">
        <v>23</v>
      </c>
      <c r="B22" s="506" t="s">
        <v>210</v>
      </c>
      <c r="C22" s="586" t="s">
        <v>149</v>
      </c>
      <c r="D22" s="607">
        <v>6.5071612167448949</v>
      </c>
      <c r="E22" s="603">
        <f t="shared" si="1"/>
        <v>15.383052096882494</v>
      </c>
      <c r="F22" s="576">
        <f t="shared" si="2"/>
        <v>164.47517310826663</v>
      </c>
      <c r="G22" s="604">
        <f t="shared" si="0"/>
        <v>3</v>
      </c>
      <c r="H22" s="509">
        <f>F4</f>
        <v>100.1</v>
      </c>
      <c r="I22" s="605"/>
      <c r="J22" s="606"/>
    </row>
    <row r="23" spans="1:11">
      <c r="A23" s="506">
        <v>26</v>
      </c>
      <c r="B23" s="506" t="s">
        <v>169</v>
      </c>
      <c r="C23" s="586" t="s">
        <v>149</v>
      </c>
      <c r="D23" s="607"/>
      <c r="E23" s="603"/>
      <c r="F23" s="576"/>
      <c r="G23" s="604"/>
      <c r="H23" s="509"/>
      <c r="I23" s="604"/>
    </row>
    <row r="24" spans="1:11">
      <c r="C24" s="612"/>
      <c r="D24" s="524"/>
      <c r="E24" s="499"/>
      <c r="F24" s="613"/>
      <c r="H24" s="499"/>
    </row>
  </sheetData>
  <phoneticPr fontId="31" type="noConversion"/>
  <printOptions gridLines="1"/>
  <pageMargins left="0.75" right="0.75" top="1" bottom="1" header="0.5" footer="0.5"/>
  <pageSetup scale="65"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S55"/>
  <sheetViews>
    <sheetView zoomScaleNormal="100" workbookViewId="0">
      <selection activeCell="A9" sqref="A9"/>
    </sheetView>
  </sheetViews>
  <sheetFormatPr defaultColWidth="8.81640625" defaultRowHeight="11.5"/>
  <cols>
    <col min="1" max="1" width="8.81640625" style="494"/>
    <col min="2" max="2" width="55.453125" style="494" customWidth="1"/>
    <col min="3" max="4" width="11.54296875" style="494" customWidth="1"/>
    <col min="5" max="5" width="11" style="587" customWidth="1"/>
    <col min="6" max="6" width="18.453125" style="494" customWidth="1"/>
    <col min="7" max="7" width="18.81640625" style="494" customWidth="1"/>
    <col min="8" max="8" width="16.81640625" style="494" customWidth="1"/>
    <col min="9" max="9" width="16" style="500" customWidth="1"/>
    <col min="10" max="10" width="15.81640625" style="494" customWidth="1"/>
    <col min="11" max="11" width="11.453125" style="494" customWidth="1"/>
    <col min="12" max="12" width="12.1796875" style="494" customWidth="1"/>
    <col min="13" max="13" width="10.453125" style="494" customWidth="1"/>
    <col min="14" max="14" width="13.81640625" style="494" customWidth="1"/>
    <col min="15" max="15" width="13.1796875" style="494" customWidth="1"/>
    <col min="16" max="16" width="12.1796875" style="494" customWidth="1"/>
    <col min="17" max="17" width="14.1796875" style="494" customWidth="1"/>
    <col min="18" max="18" width="12.81640625" style="494" customWidth="1"/>
    <col min="19" max="19" width="12.453125" style="494" customWidth="1"/>
    <col min="20" max="20" width="11" style="494" customWidth="1"/>
    <col min="21" max="16384" width="8.81640625" style="494"/>
  </cols>
  <sheetData>
    <row r="1" spans="1:19">
      <c r="B1" s="519" t="s">
        <v>224</v>
      </c>
      <c r="C1" s="519"/>
      <c r="D1" s="519"/>
      <c r="E1" s="520"/>
      <c r="F1" s="521"/>
      <c r="G1" s="521"/>
      <c r="H1" s="522"/>
      <c r="I1" s="523" t="s">
        <v>112</v>
      </c>
      <c r="J1" s="524"/>
      <c r="K1" s="525"/>
      <c r="L1" s="521"/>
      <c r="M1" s="521"/>
      <c r="N1" s="521"/>
      <c r="O1" s="521"/>
      <c r="P1" s="521"/>
      <c r="Q1" s="521"/>
      <c r="R1" s="521"/>
      <c r="S1" s="521"/>
    </row>
    <row r="2" spans="1:19">
      <c r="B2" s="521"/>
      <c r="C2" s="526" t="s">
        <v>231</v>
      </c>
      <c r="D2" s="526"/>
      <c r="E2" s="527" t="s">
        <v>234</v>
      </c>
      <c r="G2" s="525"/>
      <c r="H2" s="522"/>
      <c r="I2" s="523" t="s">
        <v>99</v>
      </c>
      <c r="J2" s="524"/>
      <c r="K2" s="525"/>
      <c r="L2" s="521"/>
      <c r="M2" s="521"/>
      <c r="N2" s="521"/>
      <c r="O2" s="521"/>
      <c r="P2" s="521"/>
      <c r="Q2" s="521"/>
      <c r="R2" s="521"/>
      <c r="S2" s="521"/>
    </row>
    <row r="3" spans="1:19" ht="23">
      <c r="B3" s="528" t="s">
        <v>151</v>
      </c>
      <c r="C3" s="528"/>
      <c r="D3" s="528"/>
      <c r="E3" s="523"/>
      <c r="F3" s="529" t="s">
        <v>132</v>
      </c>
      <c r="G3" s="530"/>
      <c r="H3" s="531" t="s">
        <v>33</v>
      </c>
      <c r="I3" s="531" t="s">
        <v>66</v>
      </c>
      <c r="J3" s="531" t="s">
        <v>67</v>
      </c>
      <c r="K3" s="532"/>
      <c r="L3" s="521"/>
      <c r="M3" s="521"/>
      <c r="N3" s="521"/>
      <c r="O3" s="521"/>
      <c r="P3" s="521"/>
      <c r="Q3" s="521"/>
      <c r="R3" s="521"/>
      <c r="S3" s="521"/>
    </row>
    <row r="4" spans="1:19">
      <c r="B4" s="521"/>
      <c r="C4" s="521"/>
      <c r="D4" s="521"/>
      <c r="E4" s="533" t="s">
        <v>150</v>
      </c>
      <c r="F4" s="531" t="s">
        <v>47</v>
      </c>
      <c r="G4" s="534"/>
      <c r="H4" s="535" t="s">
        <v>69</v>
      </c>
      <c r="I4" s="531" t="s">
        <v>9</v>
      </c>
      <c r="J4" s="536" t="s">
        <v>47</v>
      </c>
      <c r="K4" s="534" t="s">
        <v>26</v>
      </c>
      <c r="L4" s="534"/>
      <c r="M4" s="537"/>
      <c r="N4" s="537"/>
      <c r="O4" s="538"/>
      <c r="P4" s="538"/>
      <c r="Q4" s="538"/>
      <c r="R4" s="538"/>
      <c r="S4" s="531"/>
    </row>
    <row r="5" spans="1:19">
      <c r="A5" s="506">
        <v>11</v>
      </c>
      <c r="B5" s="506" t="s">
        <v>168</v>
      </c>
      <c r="C5" s="539" t="s">
        <v>275</v>
      </c>
      <c r="D5" s="506" t="str">
        <f>IF(C5&lt;=$C$20,"Pass","Fail")</f>
        <v>Fail</v>
      </c>
      <c r="E5" s="539" t="s">
        <v>275</v>
      </c>
      <c r="F5" s="509">
        <v>0</v>
      </c>
      <c r="G5" s="540"/>
      <c r="H5" s="539" t="s">
        <v>275</v>
      </c>
      <c r="I5" s="541"/>
      <c r="J5" s="542">
        <f>+F5+I5</f>
        <v>0</v>
      </c>
      <c r="K5" s="543"/>
      <c r="L5" s="544"/>
      <c r="M5" s="545"/>
      <c r="N5" s="540"/>
      <c r="O5" s="545"/>
      <c r="P5" s="545"/>
      <c r="Q5" s="499"/>
    </row>
    <row r="6" spans="1:19">
      <c r="A6" s="506">
        <v>12</v>
      </c>
      <c r="B6" s="506" t="s">
        <v>171</v>
      </c>
      <c r="C6" s="539" t="s">
        <v>275</v>
      </c>
      <c r="D6" s="506" t="str">
        <f t="shared" ref="D6:D18" si="0">IF(C6&lt;=$C$20,"Pass","Fail")</f>
        <v>Fail</v>
      </c>
      <c r="E6" s="539" t="s">
        <v>275</v>
      </c>
      <c r="F6" s="509">
        <v>0</v>
      </c>
      <c r="G6" s="540"/>
      <c r="H6" s="539" t="s">
        <v>275</v>
      </c>
      <c r="I6" s="541"/>
      <c r="J6" s="542">
        <f t="shared" ref="J6:J18" si="1">+F6+I6</f>
        <v>0</v>
      </c>
      <c r="K6" s="543"/>
      <c r="L6" s="544"/>
      <c r="M6" s="545"/>
      <c r="N6" s="540"/>
      <c r="O6" s="545"/>
      <c r="P6" s="545"/>
      <c r="Q6" s="499"/>
    </row>
    <row r="7" spans="1:19">
      <c r="A7" s="506">
        <v>13</v>
      </c>
      <c r="B7" s="506" t="s">
        <v>173</v>
      </c>
      <c r="C7" s="539">
        <v>80</v>
      </c>
      <c r="D7" s="506" t="str">
        <f t="shared" si="0"/>
        <v>Pass</v>
      </c>
      <c r="E7" s="539">
        <v>71</v>
      </c>
      <c r="F7" s="509">
        <v>75.2</v>
      </c>
      <c r="G7" s="540"/>
      <c r="H7" s="539">
        <v>3.22</v>
      </c>
      <c r="I7" s="541">
        <f>-($H$23*H7)+$H$24</f>
        <v>0</v>
      </c>
      <c r="J7" s="542">
        <f t="shared" si="1"/>
        <v>75.2</v>
      </c>
      <c r="K7" s="543">
        <f t="shared" ref="K7:K17" si="2">RANK(J7, $J$5:$J$18)</f>
        <v>7</v>
      </c>
      <c r="L7" s="544"/>
      <c r="M7" s="545"/>
      <c r="N7" s="540"/>
      <c r="O7" s="545"/>
      <c r="P7" s="545"/>
      <c r="Q7" s="499"/>
    </row>
    <row r="8" spans="1:19">
      <c r="A8" s="506">
        <v>14</v>
      </c>
      <c r="B8" s="506" t="s">
        <v>198</v>
      </c>
      <c r="C8" s="539">
        <v>72</v>
      </c>
      <c r="D8" s="506" t="str">
        <f t="shared" si="0"/>
        <v>Pass</v>
      </c>
      <c r="E8" s="539">
        <v>68</v>
      </c>
      <c r="F8" s="509">
        <v>150</v>
      </c>
      <c r="G8" s="540"/>
      <c r="H8" s="539">
        <v>2.13</v>
      </c>
      <c r="I8" s="541">
        <f>-($H$23*H8)+$H$24</f>
        <v>150</v>
      </c>
      <c r="J8" s="542">
        <f t="shared" si="1"/>
        <v>300</v>
      </c>
      <c r="K8" s="543">
        <f t="shared" si="2"/>
        <v>1</v>
      </c>
      <c r="L8" s="544"/>
      <c r="M8" s="545"/>
      <c r="N8" s="540"/>
      <c r="O8" s="545"/>
      <c r="P8" s="545"/>
      <c r="Q8" s="499"/>
    </row>
    <row r="9" spans="1:19">
      <c r="A9" s="506">
        <v>15</v>
      </c>
      <c r="B9" s="506" t="s">
        <v>164</v>
      </c>
      <c r="C9" s="539">
        <v>78</v>
      </c>
      <c r="D9" s="506" t="str">
        <f t="shared" si="0"/>
        <v>Pass</v>
      </c>
      <c r="E9" s="539">
        <v>71</v>
      </c>
      <c r="F9" s="509">
        <v>75.2</v>
      </c>
      <c r="G9" s="540"/>
      <c r="H9" s="539">
        <v>2.9</v>
      </c>
      <c r="I9" s="541">
        <f>-($H$23*H9)+$H$24</f>
        <v>44.036697247706456</v>
      </c>
      <c r="J9" s="542">
        <f t="shared" si="1"/>
        <v>119.23669724770646</v>
      </c>
      <c r="K9" s="543">
        <f t="shared" si="2"/>
        <v>6</v>
      </c>
      <c r="L9" s="544"/>
      <c r="M9" s="545"/>
      <c r="N9" s="540"/>
      <c r="O9" s="545"/>
      <c r="P9" s="545"/>
      <c r="Q9" s="499"/>
    </row>
    <row r="10" spans="1:19">
      <c r="A10" s="506">
        <v>16</v>
      </c>
      <c r="B10" s="506" t="s">
        <v>208</v>
      </c>
      <c r="C10" s="539" t="s">
        <v>275</v>
      </c>
      <c r="D10" s="506" t="str">
        <f t="shared" si="0"/>
        <v>Fail</v>
      </c>
      <c r="E10" s="539" t="s">
        <v>275</v>
      </c>
      <c r="F10" s="509">
        <v>0</v>
      </c>
      <c r="G10" s="540"/>
      <c r="H10" s="539" t="s">
        <v>275</v>
      </c>
      <c r="I10" s="541"/>
      <c r="J10" s="542">
        <f t="shared" si="1"/>
        <v>0</v>
      </c>
      <c r="K10" s="543"/>
      <c r="L10" s="544"/>
      <c r="O10" s="545"/>
      <c r="P10" s="545"/>
      <c r="Q10" s="499"/>
    </row>
    <row r="11" spans="1:19">
      <c r="A11" s="506">
        <v>17</v>
      </c>
      <c r="B11" s="506" t="s">
        <v>167</v>
      </c>
      <c r="C11" s="539">
        <v>81</v>
      </c>
      <c r="D11" s="506" t="str">
        <f t="shared" si="0"/>
        <v>Pass</v>
      </c>
      <c r="E11" s="539">
        <v>69</v>
      </c>
      <c r="F11" s="509">
        <v>119.1</v>
      </c>
      <c r="G11" s="540"/>
      <c r="H11" s="539">
        <v>2.44</v>
      </c>
      <c r="I11" s="541">
        <f t="shared" ref="I11:I17" si="3">-($H$23*H11)+$H$24</f>
        <v>107.33944954128441</v>
      </c>
      <c r="J11" s="542">
        <f t="shared" si="1"/>
        <v>226.4394495412844</v>
      </c>
      <c r="K11" s="543">
        <f t="shared" si="2"/>
        <v>3</v>
      </c>
      <c r="L11" s="544"/>
      <c r="O11" s="545"/>
      <c r="P11" s="545"/>
      <c r="Q11" s="499"/>
    </row>
    <row r="12" spans="1:19">
      <c r="A12" s="506">
        <v>18</v>
      </c>
      <c r="B12" s="506" t="s">
        <v>209</v>
      </c>
      <c r="C12" s="539" t="s">
        <v>275</v>
      </c>
      <c r="D12" s="506" t="str">
        <f t="shared" si="0"/>
        <v>Fail</v>
      </c>
      <c r="E12" s="539" t="s">
        <v>275</v>
      </c>
      <c r="F12" s="509">
        <v>0</v>
      </c>
      <c r="G12" s="540"/>
      <c r="H12" s="539" t="s">
        <v>275</v>
      </c>
      <c r="I12" s="541"/>
      <c r="J12" s="542">
        <f t="shared" si="1"/>
        <v>0</v>
      </c>
      <c r="K12" s="543"/>
      <c r="L12" s="544"/>
      <c r="M12" s="545"/>
      <c r="N12" s="540"/>
      <c r="O12" s="545"/>
      <c r="P12" s="545"/>
      <c r="Q12" s="499"/>
    </row>
    <row r="13" spans="1:19">
      <c r="A13" s="506">
        <v>19</v>
      </c>
      <c r="B13" s="506" t="s">
        <v>170</v>
      </c>
      <c r="C13" s="539">
        <v>80</v>
      </c>
      <c r="D13" s="506" t="str">
        <f t="shared" si="0"/>
        <v>Pass</v>
      </c>
      <c r="E13" s="539">
        <v>70</v>
      </c>
      <c r="F13" s="509">
        <v>94.6</v>
      </c>
      <c r="G13" s="540"/>
      <c r="H13" s="539">
        <v>2.27</v>
      </c>
      <c r="I13" s="541">
        <f t="shared" si="3"/>
        <v>130.73394495412839</v>
      </c>
      <c r="J13" s="542">
        <f t="shared" si="1"/>
        <v>225.33394495412838</v>
      </c>
      <c r="K13" s="543">
        <f t="shared" si="2"/>
        <v>4</v>
      </c>
      <c r="L13" s="544"/>
      <c r="M13" s="545"/>
      <c r="N13" s="540"/>
      <c r="O13" s="545"/>
      <c r="P13" s="545"/>
      <c r="Q13" s="499"/>
    </row>
    <row r="14" spans="1:19">
      <c r="A14" s="506">
        <v>20</v>
      </c>
      <c r="B14" s="506" t="s">
        <v>166</v>
      </c>
      <c r="C14" s="539">
        <v>76</v>
      </c>
      <c r="D14" s="506" t="str">
        <f t="shared" si="0"/>
        <v>Pass</v>
      </c>
      <c r="E14" s="539">
        <v>69</v>
      </c>
      <c r="F14" s="509">
        <v>119.1</v>
      </c>
      <c r="G14" s="540"/>
      <c r="H14" s="539">
        <v>2.95</v>
      </c>
      <c r="I14" s="541">
        <f t="shared" si="3"/>
        <v>37.155963302752241</v>
      </c>
      <c r="J14" s="542">
        <f t="shared" si="1"/>
        <v>156.25596330275224</v>
      </c>
      <c r="K14" s="543">
        <f t="shared" si="2"/>
        <v>5</v>
      </c>
      <c r="L14" s="544"/>
      <c r="M14" s="545"/>
      <c r="N14" s="540"/>
      <c r="O14" s="545"/>
      <c r="P14" s="545"/>
      <c r="Q14" s="499"/>
    </row>
    <row r="15" spans="1:19">
      <c r="A15" s="506">
        <v>21</v>
      </c>
      <c r="B15" s="506" t="s">
        <v>165</v>
      </c>
      <c r="C15" s="539" t="s">
        <v>275</v>
      </c>
      <c r="D15" s="506" t="str">
        <f t="shared" si="0"/>
        <v>Fail</v>
      </c>
      <c r="E15" s="539" t="s">
        <v>275</v>
      </c>
      <c r="F15" s="509">
        <v>0</v>
      </c>
      <c r="G15" s="540"/>
      <c r="H15" s="539" t="s">
        <v>275</v>
      </c>
      <c r="I15" s="541"/>
      <c r="J15" s="542">
        <f t="shared" si="1"/>
        <v>0</v>
      </c>
      <c r="K15" s="543"/>
      <c r="L15" s="544"/>
      <c r="M15" s="545"/>
      <c r="N15" s="540"/>
      <c r="O15" s="545"/>
      <c r="P15" s="545"/>
      <c r="Q15" s="499"/>
    </row>
    <row r="16" spans="1:19" s="550" customFormat="1">
      <c r="A16" s="506">
        <v>22</v>
      </c>
      <c r="B16" s="506" t="s">
        <v>172</v>
      </c>
      <c r="C16" s="539" t="s">
        <v>275</v>
      </c>
      <c r="D16" s="506" t="str">
        <f t="shared" si="0"/>
        <v>Fail</v>
      </c>
      <c r="E16" s="539" t="s">
        <v>275</v>
      </c>
      <c r="F16" s="509">
        <v>0</v>
      </c>
      <c r="G16" s="540"/>
      <c r="H16" s="539" t="s">
        <v>275</v>
      </c>
      <c r="I16" s="541"/>
      <c r="J16" s="542">
        <f t="shared" si="1"/>
        <v>0</v>
      </c>
      <c r="K16" s="543"/>
      <c r="L16" s="546"/>
      <c r="M16" s="547"/>
      <c r="N16" s="548"/>
      <c r="O16" s="547"/>
      <c r="P16" s="547"/>
      <c r="Q16" s="549"/>
    </row>
    <row r="17" spans="1:15" s="550" customFormat="1">
      <c r="A17" s="506">
        <v>23</v>
      </c>
      <c r="B17" s="506" t="s">
        <v>210</v>
      </c>
      <c r="C17" s="539">
        <v>76</v>
      </c>
      <c r="D17" s="506" t="str">
        <f t="shared" si="0"/>
        <v>Pass</v>
      </c>
      <c r="E17" s="539">
        <v>69</v>
      </c>
      <c r="F17" s="509">
        <v>119.1</v>
      </c>
      <c r="G17" s="540"/>
      <c r="H17" s="539">
        <v>2.35</v>
      </c>
      <c r="I17" s="541">
        <f t="shared" si="3"/>
        <v>119.7247706422018</v>
      </c>
      <c r="J17" s="542">
        <f t="shared" si="1"/>
        <v>238.8247706422018</v>
      </c>
      <c r="K17" s="543">
        <f t="shared" si="2"/>
        <v>2</v>
      </c>
      <c r="L17" s="551"/>
    </row>
    <row r="18" spans="1:15">
      <c r="A18" s="506">
        <v>26</v>
      </c>
      <c r="B18" s="506" t="s">
        <v>169</v>
      </c>
      <c r="C18" s="539" t="s">
        <v>275</v>
      </c>
      <c r="D18" s="506" t="str">
        <f t="shared" si="0"/>
        <v>Fail</v>
      </c>
      <c r="E18" s="539" t="s">
        <v>275</v>
      </c>
      <c r="F18" s="509">
        <v>0</v>
      </c>
      <c r="H18" s="539" t="s">
        <v>275</v>
      </c>
      <c r="I18" s="541"/>
      <c r="J18" s="542">
        <f t="shared" si="1"/>
        <v>0</v>
      </c>
      <c r="K18" s="543"/>
      <c r="L18" s="552"/>
      <c r="M18" s="553"/>
      <c r="N18" s="554"/>
      <c r="O18" s="555"/>
    </row>
    <row r="19" spans="1:15">
      <c r="A19" s="555"/>
      <c r="B19" s="555"/>
      <c r="C19" s="556"/>
      <c r="D19" s="555"/>
      <c r="E19" s="557"/>
      <c r="F19" s="558"/>
      <c r="H19" s="555"/>
      <c r="I19" s="559"/>
      <c r="J19" s="560"/>
      <c r="K19" s="561"/>
      <c r="L19" s="552"/>
      <c r="M19" s="553"/>
      <c r="N19" s="554"/>
      <c r="O19" s="555"/>
    </row>
    <row r="20" spans="1:15">
      <c r="A20" s="555"/>
      <c r="B20" s="562" t="s">
        <v>232</v>
      </c>
      <c r="C20" s="556">
        <v>83</v>
      </c>
      <c r="D20" s="555"/>
      <c r="E20" s="557"/>
      <c r="F20" s="558"/>
      <c r="H20" s="555"/>
      <c r="I20" s="559"/>
      <c r="J20" s="560"/>
      <c r="K20" s="561"/>
      <c r="L20" s="552"/>
      <c r="M20" s="553"/>
      <c r="N20" s="554"/>
      <c r="O20" s="555"/>
    </row>
    <row r="21" spans="1:15">
      <c r="B21" s="563"/>
      <c r="C21" s="563"/>
      <c r="D21" s="563"/>
      <c r="E21" s="564"/>
      <c r="F21" s="565"/>
      <c r="G21" s="566" t="s">
        <v>126</v>
      </c>
      <c r="H21" s="567">
        <f>MIN(H5:H18)</f>
        <v>2.13</v>
      </c>
      <c r="I21" s="565"/>
      <c r="J21" s="565"/>
      <c r="K21" s="568"/>
      <c r="L21" s="552"/>
      <c r="M21" s="555"/>
      <c r="N21" s="555"/>
      <c r="O21" s="555"/>
    </row>
    <row r="22" spans="1:15">
      <c r="B22" s="563" t="s">
        <v>233</v>
      </c>
      <c r="C22" s="563"/>
      <c r="D22" s="563"/>
      <c r="E22" s="564">
        <v>74</v>
      </c>
      <c r="F22" s="565"/>
      <c r="G22" s="565" t="s">
        <v>128</v>
      </c>
      <c r="H22" s="567">
        <f>MAX(H5:H18)</f>
        <v>3.22</v>
      </c>
      <c r="I22" s="565"/>
      <c r="J22" s="565"/>
      <c r="K22" s="568"/>
      <c r="L22" s="552"/>
      <c r="M22" s="555"/>
      <c r="N22" s="555"/>
      <c r="O22" s="555"/>
    </row>
    <row r="23" spans="1:15">
      <c r="B23" s="569"/>
      <c r="C23" s="569"/>
      <c r="D23" s="569"/>
      <c r="E23" s="564"/>
      <c r="F23" s="565"/>
      <c r="G23" s="565" t="s">
        <v>125</v>
      </c>
      <c r="H23" s="565">
        <f>150/(H22-H21)</f>
        <v>137.61467889908252</v>
      </c>
      <c r="I23" s="570"/>
      <c r="J23" s="565"/>
      <c r="K23" s="568"/>
      <c r="L23" s="552"/>
      <c r="M23" s="555"/>
      <c r="N23" s="555"/>
      <c r="O23" s="555"/>
    </row>
    <row r="24" spans="1:15">
      <c r="B24" s="571"/>
      <c r="C24" s="571"/>
      <c r="D24" s="571"/>
      <c r="E24" s="564"/>
      <c r="F24" s="565"/>
      <c r="G24" s="565" t="s">
        <v>127</v>
      </c>
      <c r="H24" s="565">
        <f>H23*H22</f>
        <v>443.11926605504573</v>
      </c>
      <c r="I24" s="570"/>
      <c r="J24" s="565"/>
      <c r="K24" s="568"/>
      <c r="L24" s="552"/>
      <c r="M24" s="555"/>
      <c r="N24" s="555"/>
      <c r="O24" s="555"/>
    </row>
    <row r="25" spans="1:15">
      <c r="B25" s="572"/>
      <c r="C25" s="572"/>
      <c r="D25" s="572"/>
      <c r="E25" s="564"/>
      <c r="F25" s="565"/>
      <c r="G25" s="565"/>
      <c r="H25" s="565"/>
      <c r="I25" s="570"/>
      <c r="J25" s="565"/>
      <c r="K25" s="568"/>
      <c r="L25" s="552"/>
      <c r="M25" s="555"/>
      <c r="N25" s="555"/>
      <c r="O25" s="555"/>
    </row>
    <row r="26" spans="1:15">
      <c r="B26" s="572"/>
      <c r="C26" s="572"/>
      <c r="D26" s="572"/>
      <c r="E26" s="564"/>
      <c r="F26" s="565"/>
      <c r="G26" s="565"/>
      <c r="I26" s="570"/>
      <c r="J26" s="565"/>
      <c r="K26" s="568"/>
      <c r="L26" s="552"/>
      <c r="M26" s="555"/>
      <c r="N26" s="555"/>
      <c r="O26" s="555"/>
    </row>
    <row r="27" spans="1:15">
      <c r="B27" s="572"/>
      <c r="C27" s="572"/>
      <c r="D27" s="572"/>
      <c r="E27" s="573" t="s">
        <v>133</v>
      </c>
      <c r="F27" s="565"/>
      <c r="G27" s="565"/>
      <c r="I27" s="570"/>
      <c r="J27" s="565"/>
      <c r="K27" s="568"/>
      <c r="L27" s="552"/>
      <c r="M27" s="555"/>
      <c r="N27" s="555"/>
      <c r="O27" s="555"/>
    </row>
    <row r="28" spans="1:15">
      <c r="B28" s="572"/>
      <c r="C28" s="572"/>
      <c r="D28" s="574" t="s">
        <v>41</v>
      </c>
      <c r="E28" s="575" t="s">
        <v>97</v>
      </c>
      <c r="F28" s="576" t="s">
        <v>47</v>
      </c>
      <c r="G28" s="565"/>
      <c r="H28" s="565"/>
      <c r="I28" s="570"/>
      <c r="J28" s="565"/>
      <c r="K28" s="568"/>
      <c r="L28" s="552"/>
      <c r="M28" s="555"/>
      <c r="N28" s="555"/>
      <c r="O28" s="555"/>
    </row>
    <row r="29" spans="1:15">
      <c r="B29" s="577"/>
      <c r="C29" s="577"/>
      <c r="D29" s="574" t="s">
        <v>235</v>
      </c>
      <c r="E29" s="578">
        <v>68</v>
      </c>
      <c r="F29" s="510">
        <f>10^(($E$29-E29)/10)*150</f>
        <v>150</v>
      </c>
      <c r="G29" s="579" t="s">
        <v>134</v>
      </c>
      <c r="H29" s="565"/>
      <c r="I29" s="570"/>
      <c r="J29" s="565"/>
      <c r="K29" s="568"/>
      <c r="L29" s="552"/>
      <c r="M29" s="555"/>
      <c r="N29" s="555"/>
      <c r="O29" s="555"/>
    </row>
    <row r="30" spans="1:15">
      <c r="B30" s="572"/>
      <c r="C30" s="572"/>
      <c r="D30" s="572"/>
      <c r="E30" s="575">
        <f>E29+0.5</f>
        <v>68.5</v>
      </c>
      <c r="F30" s="510">
        <f t="shared" ref="F30:F45" si="4">10^(($E$29-E30)/10)*150</f>
        <v>133.68764072006181</v>
      </c>
      <c r="G30" s="580" t="s">
        <v>236</v>
      </c>
      <c r="H30" s="565"/>
      <c r="I30" s="570"/>
      <c r="J30" s="565"/>
      <c r="K30" s="568"/>
      <c r="L30" s="552"/>
      <c r="M30" s="555"/>
      <c r="N30" s="555"/>
      <c r="O30" s="555"/>
    </row>
    <row r="31" spans="1:15">
      <c r="B31" s="572"/>
      <c r="C31" s="572"/>
      <c r="D31" s="572"/>
      <c r="E31" s="575">
        <f t="shared" ref="E31:E45" si="5">E30+0.5</f>
        <v>69</v>
      </c>
      <c r="F31" s="510">
        <f t="shared" si="4"/>
        <v>119.14923520864222</v>
      </c>
      <c r="G31" s="580" t="s">
        <v>237</v>
      </c>
      <c r="H31" s="565"/>
      <c r="I31" s="570"/>
      <c r="J31" s="565"/>
      <c r="K31" s="568"/>
      <c r="L31" s="552"/>
      <c r="M31" s="555"/>
      <c r="N31" s="555"/>
      <c r="O31" s="555"/>
    </row>
    <row r="32" spans="1:15">
      <c r="B32" s="572"/>
      <c r="C32" s="572"/>
      <c r="D32" s="572"/>
      <c r="E32" s="575">
        <f t="shared" si="5"/>
        <v>69.5</v>
      </c>
      <c r="F32" s="510">
        <f t="shared" si="4"/>
        <v>106.19186765762069</v>
      </c>
      <c r="G32" s="580" t="s">
        <v>238</v>
      </c>
      <c r="H32" s="565"/>
      <c r="I32" s="570"/>
      <c r="J32" s="565"/>
      <c r="K32" s="568"/>
      <c r="L32" s="552"/>
      <c r="M32" s="555"/>
      <c r="N32" s="555"/>
      <c r="O32" s="555"/>
    </row>
    <row r="33" spans="2:15">
      <c r="B33" s="572"/>
      <c r="C33" s="572"/>
      <c r="D33" s="572"/>
      <c r="E33" s="575">
        <f t="shared" si="5"/>
        <v>70</v>
      </c>
      <c r="F33" s="510">
        <f t="shared" si="4"/>
        <v>94.643601672028993</v>
      </c>
      <c r="G33" s="565"/>
      <c r="H33" s="565"/>
      <c r="I33" s="570"/>
      <c r="J33" s="565"/>
      <c r="K33" s="568"/>
      <c r="L33" s="552"/>
      <c r="M33" s="555"/>
      <c r="N33" s="555"/>
      <c r="O33" s="555"/>
    </row>
    <row r="34" spans="2:15">
      <c r="B34" s="572"/>
      <c r="C34" s="572"/>
      <c r="D34" s="572"/>
      <c r="E34" s="575">
        <f t="shared" si="5"/>
        <v>70.5</v>
      </c>
      <c r="F34" s="510">
        <f t="shared" si="4"/>
        <v>84.351198778552359</v>
      </c>
      <c r="G34" s="565"/>
      <c r="H34" s="565"/>
      <c r="I34" s="570"/>
      <c r="J34" s="565"/>
      <c r="K34" s="568"/>
      <c r="L34" s="552"/>
      <c r="M34" s="555"/>
      <c r="N34" s="555"/>
      <c r="O34" s="555"/>
    </row>
    <row r="35" spans="2:15">
      <c r="B35" s="581" t="s">
        <v>205</v>
      </c>
      <c r="C35" s="581"/>
      <c r="D35" s="581"/>
      <c r="E35" s="576">
        <f t="shared" si="5"/>
        <v>71</v>
      </c>
      <c r="F35" s="511">
        <f t="shared" si="4"/>
        <v>75.178085044090835</v>
      </c>
      <c r="G35" s="582"/>
      <c r="H35" s="565"/>
      <c r="I35" s="583"/>
      <c r="J35" s="563"/>
      <c r="K35" s="568"/>
      <c r="L35" s="552"/>
      <c r="M35" s="555"/>
      <c r="N35" s="555"/>
      <c r="O35" s="555"/>
    </row>
    <row r="36" spans="2:15">
      <c r="B36" s="572"/>
      <c r="C36" s="572"/>
      <c r="D36" s="572"/>
      <c r="E36" s="575">
        <f t="shared" si="5"/>
        <v>71.5</v>
      </c>
      <c r="F36" s="510">
        <f t="shared" si="4"/>
        <v>67.002538822644468</v>
      </c>
      <c r="G36" s="565"/>
      <c r="H36" s="565"/>
      <c r="I36" s="570"/>
      <c r="J36" s="565"/>
      <c r="K36" s="568"/>
      <c r="L36" s="552"/>
      <c r="M36" s="555"/>
      <c r="N36" s="555"/>
      <c r="O36" s="555"/>
    </row>
    <row r="37" spans="2:15">
      <c r="B37" s="555"/>
      <c r="C37" s="555"/>
      <c r="D37" s="555"/>
      <c r="E37" s="575">
        <f t="shared" si="5"/>
        <v>72</v>
      </c>
      <c r="F37" s="510">
        <f t="shared" si="4"/>
        <v>59.716075583024583</v>
      </c>
      <c r="G37" s="555"/>
      <c r="H37" s="555"/>
      <c r="I37" s="584"/>
      <c r="J37" s="555"/>
      <c r="K37" s="555"/>
      <c r="L37" s="552"/>
      <c r="M37" s="555"/>
      <c r="N37" s="555"/>
      <c r="O37" s="555"/>
    </row>
    <row r="38" spans="2:15">
      <c r="B38" s="555"/>
      <c r="C38" s="555"/>
      <c r="D38" s="555"/>
      <c r="E38" s="575">
        <f t="shared" si="5"/>
        <v>72.5</v>
      </c>
      <c r="F38" s="510">
        <f t="shared" si="4"/>
        <v>53.222008385036311</v>
      </c>
      <c r="G38" s="552"/>
      <c r="H38" s="552"/>
      <c r="I38" s="585"/>
      <c r="J38" s="552"/>
      <c r="K38" s="552"/>
      <c r="L38" s="552"/>
      <c r="M38" s="555"/>
      <c r="N38" s="555"/>
      <c r="O38" s="555"/>
    </row>
    <row r="39" spans="2:15">
      <c r="E39" s="575">
        <f t="shared" si="5"/>
        <v>73</v>
      </c>
      <c r="F39" s="510">
        <f t="shared" si="4"/>
        <v>47.434164902525694</v>
      </c>
      <c r="G39" s="552"/>
      <c r="H39" s="552"/>
      <c r="I39" s="585"/>
      <c r="J39" s="552"/>
      <c r="K39" s="552"/>
      <c r="L39" s="552"/>
    </row>
    <row r="40" spans="2:15">
      <c r="E40" s="575">
        <f t="shared" si="5"/>
        <v>73.5</v>
      </c>
      <c r="F40" s="510">
        <f t="shared" si="4"/>
        <v>42.2757439689668</v>
      </c>
      <c r="G40" s="552"/>
      <c r="H40" s="552"/>
      <c r="I40" s="585"/>
      <c r="J40" s="552"/>
      <c r="K40" s="552"/>
      <c r="L40" s="552"/>
    </row>
    <row r="41" spans="2:15">
      <c r="E41" s="575">
        <f t="shared" si="5"/>
        <v>74</v>
      </c>
      <c r="F41" s="510">
        <f t="shared" si="4"/>
        <v>37.678296472643702</v>
      </c>
      <c r="G41" s="552"/>
      <c r="H41" s="552"/>
      <c r="I41" s="585"/>
      <c r="J41" s="552"/>
      <c r="K41" s="552"/>
      <c r="L41" s="552"/>
    </row>
    <row r="42" spans="2:15">
      <c r="E42" s="575">
        <f t="shared" si="5"/>
        <v>74.5</v>
      </c>
      <c r="F42" s="510">
        <f t="shared" si="4"/>
        <v>33.580817078525087</v>
      </c>
      <c r="G42" s="552"/>
      <c r="H42" s="552"/>
      <c r="I42" s="585"/>
      <c r="J42" s="552"/>
      <c r="K42" s="552"/>
      <c r="L42" s="552"/>
    </row>
    <row r="43" spans="2:15">
      <c r="E43" s="575">
        <f t="shared" si="5"/>
        <v>75</v>
      </c>
      <c r="F43" s="510">
        <f t="shared" si="4"/>
        <v>29.928934724533192</v>
      </c>
      <c r="G43" s="552"/>
      <c r="H43" s="552"/>
      <c r="I43" s="585"/>
      <c r="J43" s="552"/>
      <c r="K43" s="552"/>
      <c r="L43" s="552"/>
    </row>
    <row r="44" spans="2:15">
      <c r="E44" s="575">
        <f t="shared" si="5"/>
        <v>75.5</v>
      </c>
      <c r="F44" s="510">
        <f t="shared" si="4"/>
        <v>26.674191150583834</v>
      </c>
      <c r="G44" s="552"/>
      <c r="H44" s="552"/>
      <c r="I44" s="585"/>
      <c r="J44" s="552"/>
      <c r="K44" s="552"/>
      <c r="L44" s="552"/>
    </row>
    <row r="45" spans="2:15">
      <c r="B45" s="502" t="s">
        <v>129</v>
      </c>
      <c r="C45" s="502"/>
      <c r="D45" s="502"/>
      <c r="E45" s="575">
        <f t="shared" si="5"/>
        <v>76</v>
      </c>
      <c r="F45" s="510">
        <f t="shared" si="4"/>
        <v>23.773397886916698</v>
      </c>
      <c r="G45" s="552" t="s">
        <v>135</v>
      </c>
      <c r="H45" s="552"/>
      <c r="I45" s="585"/>
      <c r="J45" s="552"/>
      <c r="K45" s="552"/>
      <c r="L45" s="552"/>
    </row>
    <row r="46" spans="2:15">
      <c r="E46" s="575"/>
      <c r="F46" s="586"/>
      <c r="G46" s="552"/>
      <c r="H46" s="552"/>
      <c r="I46" s="585"/>
      <c r="J46" s="552"/>
      <c r="K46" s="552"/>
      <c r="L46" s="552"/>
    </row>
    <row r="47" spans="2:15">
      <c r="E47" s="575"/>
      <c r="F47" s="586"/>
      <c r="G47" s="552"/>
      <c r="H47" s="552"/>
      <c r="I47" s="585"/>
      <c r="J47" s="552"/>
      <c r="K47" s="552"/>
      <c r="L47" s="552"/>
    </row>
    <row r="48" spans="2:15">
      <c r="E48" s="564"/>
      <c r="F48" s="552"/>
      <c r="G48" s="552"/>
      <c r="H48" s="552"/>
      <c r="I48" s="585"/>
      <c r="J48" s="552"/>
      <c r="K48" s="552"/>
      <c r="L48" s="552"/>
    </row>
    <row r="49" spans="5:12">
      <c r="E49" s="564"/>
      <c r="F49" s="552"/>
      <c r="G49" s="552"/>
      <c r="H49" s="552"/>
      <c r="I49" s="585"/>
      <c r="J49" s="552"/>
      <c r="K49" s="552"/>
      <c r="L49" s="552"/>
    </row>
    <row r="50" spans="5:12">
      <c r="E50" s="564"/>
      <c r="F50" s="552"/>
      <c r="G50" s="552"/>
      <c r="H50" s="552"/>
      <c r="I50" s="585"/>
      <c r="J50" s="552"/>
      <c r="K50" s="552"/>
      <c r="L50" s="552"/>
    </row>
    <row r="51" spans="5:12">
      <c r="E51" s="564"/>
      <c r="F51" s="552"/>
      <c r="G51" s="552"/>
      <c r="H51" s="552"/>
      <c r="I51" s="585"/>
      <c r="J51" s="552"/>
      <c r="K51" s="552"/>
      <c r="L51" s="552"/>
    </row>
    <row r="52" spans="5:12">
      <c r="E52" s="564"/>
      <c r="F52" s="552"/>
      <c r="G52" s="552"/>
      <c r="H52" s="552"/>
      <c r="I52" s="585"/>
      <c r="J52" s="552"/>
      <c r="K52" s="552"/>
      <c r="L52" s="552"/>
    </row>
    <row r="53" spans="5:12">
      <c r="E53" s="564"/>
      <c r="F53" s="552"/>
      <c r="G53" s="552"/>
      <c r="H53" s="552"/>
      <c r="I53" s="585"/>
      <c r="J53" s="552"/>
      <c r="K53" s="552"/>
      <c r="L53" s="552"/>
    </row>
    <row r="54" spans="5:12">
      <c r="E54" s="564"/>
    </row>
    <row r="55" spans="5:12">
      <c r="E55" s="564"/>
    </row>
  </sheetData>
  <phoneticPr fontId="31" type="noConversion"/>
  <printOptions gridLines="1"/>
  <pageMargins left="0.75" right="0.75" top="0.5" bottom="0.5" header="0.5" footer="0.5"/>
  <pageSetup scale="72" orientation="landscape" horizontalDpi="4294967294" verticalDpi="300"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BE28"/>
  <sheetViews>
    <sheetView zoomScaleNormal="100" workbookViewId="0">
      <pane xSplit="2" ySplit="3" topLeftCell="C4" activePane="bottomRight" state="frozen"/>
      <selection pane="topRight" activeCell="B1" sqref="B1"/>
      <selection pane="bottomLeft" activeCell="A4" sqref="A4"/>
      <selection pane="bottomRight" sqref="A1:XFD1048576"/>
    </sheetView>
  </sheetViews>
  <sheetFormatPr defaultColWidth="8.81640625" defaultRowHeight="11.5"/>
  <cols>
    <col min="1" max="1" width="8.81640625" style="494"/>
    <col min="2" max="2" width="61" style="494" customWidth="1"/>
    <col min="3" max="3" width="5.81640625" style="499" customWidth="1"/>
    <col min="4" max="19" width="5.81640625" style="494" customWidth="1"/>
    <col min="20" max="20" width="6.1796875" style="494" customWidth="1"/>
    <col min="21" max="54" width="5.81640625" style="494" customWidth="1"/>
    <col min="55" max="16384" width="8.81640625" style="494"/>
  </cols>
  <sheetData>
    <row r="1" spans="1:57">
      <c r="B1" s="495" t="s">
        <v>225</v>
      </c>
      <c r="C1" s="496"/>
      <c r="D1" s="497"/>
      <c r="E1" s="497"/>
      <c r="F1" s="497"/>
      <c r="G1" s="498"/>
      <c r="H1" s="497"/>
      <c r="I1" s="497"/>
      <c r="J1" s="497"/>
      <c r="K1" s="497"/>
      <c r="L1" s="497"/>
      <c r="M1" s="497"/>
      <c r="N1" s="497"/>
      <c r="O1" s="499" t="s">
        <v>130</v>
      </c>
      <c r="P1" s="497"/>
      <c r="Q1" s="497"/>
      <c r="R1" s="497"/>
      <c r="S1" s="497"/>
      <c r="T1" s="497"/>
      <c r="U1" s="497"/>
      <c r="V1" s="497"/>
      <c r="W1" s="497"/>
      <c r="X1" s="497"/>
      <c r="Y1" s="497"/>
      <c r="Z1" s="497"/>
      <c r="AA1" s="497"/>
      <c r="AB1" s="497"/>
      <c r="AC1" s="497"/>
      <c r="AD1" s="497"/>
      <c r="AE1" s="497"/>
      <c r="AF1" s="497"/>
      <c r="AG1" s="497"/>
      <c r="AH1" s="497"/>
      <c r="AI1" s="497"/>
      <c r="AJ1" s="497"/>
      <c r="AK1" s="497"/>
      <c r="AL1" s="497"/>
      <c r="AM1" s="497"/>
      <c r="AN1" s="497"/>
      <c r="AO1" s="497"/>
      <c r="AP1" s="497"/>
      <c r="AQ1" s="497"/>
      <c r="AR1" s="497"/>
      <c r="AS1" s="497"/>
      <c r="AT1" s="497"/>
      <c r="AU1" s="497"/>
      <c r="AV1" s="497"/>
      <c r="AW1" s="497"/>
      <c r="AX1" s="497"/>
      <c r="AY1" s="497"/>
      <c r="AZ1" s="497"/>
      <c r="BA1" s="497"/>
      <c r="BB1" s="497"/>
      <c r="BC1" s="500"/>
      <c r="BD1" s="500"/>
    </row>
    <row r="2" spans="1:57" ht="12">
      <c r="C2" s="496"/>
      <c r="D2" s="496"/>
      <c r="E2" s="496"/>
      <c r="F2" s="496"/>
      <c r="G2" s="496"/>
      <c r="H2" s="496"/>
      <c r="I2" s="496"/>
      <c r="J2" s="496"/>
      <c r="K2" s="496"/>
      <c r="L2" s="496"/>
      <c r="M2" s="496"/>
      <c r="N2" s="496"/>
      <c r="O2" s="496"/>
      <c r="P2" s="496"/>
      <c r="Q2" s="496"/>
      <c r="R2" s="496"/>
      <c r="S2" s="496"/>
      <c r="T2" s="496"/>
      <c r="U2" s="496"/>
      <c r="V2" s="496"/>
      <c r="W2" s="496"/>
      <c r="X2" s="496"/>
      <c r="Y2" s="496"/>
      <c r="Z2" s="496"/>
      <c r="AA2" s="496"/>
      <c r="AB2" s="496"/>
      <c r="AC2" s="496"/>
      <c r="AD2" s="501"/>
      <c r="AE2" s="496"/>
      <c r="AF2" s="496"/>
      <c r="AG2" s="496"/>
      <c r="AH2" s="496"/>
      <c r="AI2" s="496"/>
      <c r="AJ2" s="496"/>
      <c r="AK2" s="496"/>
      <c r="AL2" s="496"/>
      <c r="AM2" s="496"/>
      <c r="AN2" s="496"/>
      <c r="AO2" s="496"/>
      <c r="AP2" s="496"/>
      <c r="AQ2" s="496"/>
      <c r="AR2" s="496"/>
      <c r="AS2" s="496"/>
      <c r="AT2" s="496"/>
      <c r="AU2" s="496"/>
      <c r="AV2" s="496"/>
      <c r="AW2" s="496"/>
      <c r="AX2" s="496"/>
      <c r="AY2" s="496"/>
      <c r="AZ2" s="496"/>
      <c r="BA2" s="496"/>
      <c r="BB2" s="496"/>
      <c r="BC2" s="500"/>
      <c r="BD2" s="500"/>
    </row>
    <row r="3" spans="1:57">
      <c r="B3" s="502"/>
      <c r="C3" s="503">
        <v>1</v>
      </c>
      <c r="D3" s="503">
        <v>2</v>
      </c>
      <c r="E3" s="503">
        <v>3</v>
      </c>
      <c r="F3" s="503">
        <v>4</v>
      </c>
      <c r="G3" s="503">
        <v>5</v>
      </c>
      <c r="H3" s="503">
        <v>6</v>
      </c>
      <c r="I3" s="503">
        <v>7</v>
      </c>
      <c r="J3" s="503">
        <v>8</v>
      </c>
      <c r="K3" s="503">
        <v>9</v>
      </c>
      <c r="L3" s="503">
        <v>10</v>
      </c>
      <c r="M3" s="503">
        <v>11</v>
      </c>
      <c r="N3" s="503">
        <v>12</v>
      </c>
      <c r="O3" s="503">
        <v>13</v>
      </c>
      <c r="P3" s="503">
        <v>14</v>
      </c>
      <c r="Q3" s="503">
        <v>15</v>
      </c>
      <c r="R3" s="503">
        <v>16</v>
      </c>
      <c r="S3" s="503">
        <v>17</v>
      </c>
      <c r="T3" s="503">
        <v>18</v>
      </c>
      <c r="U3" s="503">
        <v>19</v>
      </c>
      <c r="V3" s="503">
        <v>20</v>
      </c>
      <c r="W3" s="503">
        <v>21</v>
      </c>
      <c r="X3" s="503">
        <v>22</v>
      </c>
      <c r="Y3" s="503">
        <v>23</v>
      </c>
      <c r="Z3" s="503">
        <v>24</v>
      </c>
      <c r="AA3" s="503">
        <v>25</v>
      </c>
      <c r="AB3" s="503">
        <v>26</v>
      </c>
      <c r="AC3" s="503">
        <v>27</v>
      </c>
      <c r="AD3" s="503">
        <v>28</v>
      </c>
      <c r="AE3" s="503">
        <v>29</v>
      </c>
      <c r="AF3" s="503">
        <v>30</v>
      </c>
      <c r="AG3" s="503">
        <v>31</v>
      </c>
      <c r="AH3" s="503">
        <v>32</v>
      </c>
      <c r="AI3" s="503">
        <v>33</v>
      </c>
      <c r="AJ3" s="503">
        <v>34</v>
      </c>
      <c r="AK3" s="503">
        <v>35</v>
      </c>
      <c r="AL3" s="503">
        <v>36</v>
      </c>
      <c r="AM3" s="503">
        <v>37</v>
      </c>
      <c r="AN3" s="503">
        <v>38</v>
      </c>
      <c r="AO3" s="503">
        <v>39</v>
      </c>
      <c r="AP3" s="503">
        <v>40</v>
      </c>
      <c r="AQ3" s="503">
        <v>41</v>
      </c>
      <c r="AR3" s="503">
        <v>42</v>
      </c>
      <c r="AS3" s="503">
        <v>43</v>
      </c>
      <c r="AT3" s="503">
        <v>44</v>
      </c>
      <c r="AU3" s="503">
        <v>45</v>
      </c>
      <c r="AV3" s="503">
        <v>46</v>
      </c>
      <c r="AW3" s="503">
        <v>47</v>
      </c>
      <c r="AX3" s="503">
        <v>48</v>
      </c>
      <c r="AY3" s="503">
        <v>49</v>
      </c>
      <c r="AZ3" s="503">
        <v>50</v>
      </c>
      <c r="BA3" s="503">
        <v>51</v>
      </c>
      <c r="BB3" s="503">
        <v>52</v>
      </c>
      <c r="BC3" s="504" t="s">
        <v>65</v>
      </c>
      <c r="BD3" s="504" t="s">
        <v>47</v>
      </c>
      <c r="BE3" s="505" t="s">
        <v>26</v>
      </c>
    </row>
    <row r="4" spans="1:57" ht="12">
      <c r="A4" s="506">
        <v>11</v>
      </c>
      <c r="B4" s="506" t="s">
        <v>168</v>
      </c>
      <c r="C4" s="507">
        <v>38</v>
      </c>
      <c r="D4" s="508">
        <v>40</v>
      </c>
      <c r="E4" s="508">
        <v>50</v>
      </c>
      <c r="F4" s="508">
        <v>47.5</v>
      </c>
      <c r="G4" s="508">
        <v>73</v>
      </c>
      <c r="H4" s="508">
        <v>37.5</v>
      </c>
      <c r="I4" s="508">
        <v>27.5</v>
      </c>
      <c r="J4" s="508">
        <v>29</v>
      </c>
      <c r="K4" s="508">
        <v>44</v>
      </c>
      <c r="L4" s="508">
        <v>39</v>
      </c>
      <c r="M4" s="508">
        <v>42</v>
      </c>
      <c r="N4" s="508">
        <v>17.5</v>
      </c>
      <c r="O4" s="508">
        <v>31</v>
      </c>
      <c r="P4" s="508">
        <v>49</v>
      </c>
      <c r="Q4" s="508">
        <v>36</v>
      </c>
      <c r="R4" s="508">
        <v>55</v>
      </c>
      <c r="S4" s="508">
        <v>48.5</v>
      </c>
      <c r="T4" s="508">
        <v>56</v>
      </c>
      <c r="U4" s="508">
        <v>33</v>
      </c>
      <c r="V4" s="508">
        <v>35.5</v>
      </c>
      <c r="W4" s="508">
        <v>32.5</v>
      </c>
      <c r="X4" s="508">
        <v>45</v>
      </c>
      <c r="Y4" s="508">
        <v>32.5</v>
      </c>
      <c r="Z4" s="508">
        <v>35</v>
      </c>
      <c r="AA4" s="508">
        <v>26.5</v>
      </c>
      <c r="AB4" s="508">
        <v>27.5</v>
      </c>
      <c r="AC4" s="508">
        <v>17.5</v>
      </c>
      <c r="AD4" s="508">
        <v>20</v>
      </c>
      <c r="AE4" s="508">
        <v>17.5</v>
      </c>
      <c r="AF4" s="508">
        <v>14</v>
      </c>
      <c r="AG4" s="509">
        <v>70</v>
      </c>
      <c r="AH4" s="508">
        <v>58</v>
      </c>
      <c r="AI4" s="508">
        <v>51.5</v>
      </c>
      <c r="AJ4" s="508">
        <v>35</v>
      </c>
      <c r="AK4" s="508">
        <v>35.5</v>
      </c>
      <c r="AL4" s="508">
        <v>40</v>
      </c>
      <c r="AM4" s="508">
        <v>35</v>
      </c>
      <c r="AN4" s="508">
        <v>56</v>
      </c>
      <c r="AO4" s="508">
        <v>57.5</v>
      </c>
      <c r="AP4" s="508"/>
      <c r="AQ4" s="508"/>
      <c r="AR4" s="508"/>
      <c r="AS4" s="508"/>
      <c r="AT4" s="508"/>
      <c r="AU4" s="508"/>
      <c r="AV4" s="508"/>
      <c r="AW4" s="508"/>
      <c r="AX4" s="508"/>
      <c r="AY4" s="508"/>
      <c r="AZ4" s="508"/>
      <c r="BA4" s="508"/>
      <c r="BB4" s="508"/>
      <c r="BC4" s="510">
        <f>AVERAGE(C4:BB4)</f>
        <v>39.371794871794869</v>
      </c>
      <c r="BD4" s="511">
        <f>IF(BC4&lt;5,5,BC4)</f>
        <v>39.371794871794869</v>
      </c>
      <c r="BE4" s="512">
        <f t="shared" ref="BE4:BE17" si="0">RANK(BD4,$BD$4:$BD$17)</f>
        <v>13</v>
      </c>
    </row>
    <row r="5" spans="1:57" ht="12">
      <c r="A5" s="506">
        <v>12</v>
      </c>
      <c r="B5" s="506" t="s">
        <v>171</v>
      </c>
      <c r="C5" s="508">
        <v>82</v>
      </c>
      <c r="D5" s="508">
        <v>56</v>
      </c>
      <c r="E5" s="508">
        <v>48.5</v>
      </c>
      <c r="F5" s="508">
        <v>70</v>
      </c>
      <c r="G5" s="508">
        <v>46</v>
      </c>
      <c r="H5" s="508">
        <v>45</v>
      </c>
      <c r="I5" s="509">
        <v>64</v>
      </c>
      <c r="J5" s="508">
        <v>60</v>
      </c>
      <c r="K5" s="508">
        <v>60</v>
      </c>
      <c r="L5" s="508">
        <v>49</v>
      </c>
      <c r="M5" s="508">
        <v>50</v>
      </c>
      <c r="N5" s="508">
        <v>52.5</v>
      </c>
      <c r="O5" s="508">
        <v>70</v>
      </c>
      <c r="P5" s="508">
        <v>85</v>
      </c>
      <c r="Q5" s="508">
        <v>69.5</v>
      </c>
      <c r="R5" s="508">
        <v>80</v>
      </c>
      <c r="S5" s="508">
        <v>71.5</v>
      </c>
      <c r="T5" s="508">
        <v>75</v>
      </c>
      <c r="U5" s="508">
        <v>69</v>
      </c>
      <c r="V5" s="508">
        <v>47.5</v>
      </c>
      <c r="W5" s="508">
        <v>43</v>
      </c>
      <c r="X5" s="508">
        <v>60</v>
      </c>
      <c r="Y5" s="508">
        <v>62</v>
      </c>
      <c r="Z5" s="508">
        <v>71</v>
      </c>
      <c r="AA5" s="513">
        <v>75</v>
      </c>
      <c r="AB5" s="513">
        <v>72.5</v>
      </c>
      <c r="AC5" s="513">
        <v>47.5</v>
      </c>
      <c r="AD5" s="513">
        <v>55</v>
      </c>
      <c r="AE5" s="513">
        <v>57.5</v>
      </c>
      <c r="AF5" s="513">
        <v>69</v>
      </c>
      <c r="AG5" s="513">
        <v>67</v>
      </c>
      <c r="AH5" s="508">
        <v>69</v>
      </c>
      <c r="AI5" s="508">
        <v>52.5</v>
      </c>
      <c r="AJ5" s="508">
        <v>53.5</v>
      </c>
      <c r="AK5" s="508">
        <v>42</v>
      </c>
      <c r="AL5" s="508">
        <v>71.5</v>
      </c>
      <c r="AM5" s="508">
        <v>42.5</v>
      </c>
      <c r="AN5" s="508">
        <v>70</v>
      </c>
      <c r="AO5" s="508">
        <v>50</v>
      </c>
      <c r="AP5" s="508">
        <v>68</v>
      </c>
      <c r="AQ5" s="508">
        <v>75</v>
      </c>
      <c r="AR5" s="508"/>
      <c r="AS5" s="508"/>
      <c r="AT5" s="508"/>
      <c r="AU5" s="508"/>
      <c r="AV5" s="508"/>
      <c r="AW5" s="508"/>
      <c r="AX5" s="508"/>
      <c r="AY5" s="508"/>
      <c r="AZ5" s="508"/>
      <c r="BA5" s="508"/>
      <c r="BB5" s="508"/>
      <c r="BC5" s="510">
        <f>AVERAGE(C5:BB5)</f>
        <v>61.560975609756099</v>
      </c>
      <c r="BD5" s="511">
        <f>IF(BC5&lt;5,5,BC5)</f>
        <v>61.560975609756099</v>
      </c>
      <c r="BE5" s="512">
        <f t="shared" si="0"/>
        <v>5</v>
      </c>
    </row>
    <row r="6" spans="1:57" ht="12">
      <c r="A6" s="506">
        <v>13</v>
      </c>
      <c r="B6" s="506" t="s">
        <v>173</v>
      </c>
      <c r="C6" s="507">
        <v>44</v>
      </c>
      <c r="D6" s="508">
        <v>45</v>
      </c>
      <c r="E6" s="508">
        <v>41</v>
      </c>
      <c r="F6" s="508">
        <v>34</v>
      </c>
      <c r="G6" s="508">
        <v>52.5</v>
      </c>
      <c r="H6" s="508">
        <v>70</v>
      </c>
      <c r="I6" s="508">
        <v>45</v>
      </c>
      <c r="J6" s="508">
        <v>36</v>
      </c>
      <c r="K6" s="508">
        <v>56</v>
      </c>
      <c r="L6" s="508">
        <v>38.5</v>
      </c>
      <c r="M6" s="508">
        <v>22.5</v>
      </c>
      <c r="N6" s="508">
        <v>17.5</v>
      </c>
      <c r="O6" s="508">
        <v>25</v>
      </c>
      <c r="P6" s="508">
        <v>27.5</v>
      </c>
      <c r="Q6" s="508">
        <v>20</v>
      </c>
      <c r="R6" s="508">
        <v>22.5</v>
      </c>
      <c r="S6" s="508">
        <v>25</v>
      </c>
      <c r="T6" s="508">
        <v>28</v>
      </c>
      <c r="U6" s="508">
        <v>52</v>
      </c>
      <c r="V6" s="508">
        <v>42.5</v>
      </c>
      <c r="W6" s="508">
        <v>44</v>
      </c>
      <c r="X6" s="508">
        <v>42.5</v>
      </c>
      <c r="Y6" s="508">
        <v>25</v>
      </c>
      <c r="Z6" s="508">
        <v>46</v>
      </c>
      <c r="AA6" s="508">
        <v>46</v>
      </c>
      <c r="AB6" s="508">
        <v>69</v>
      </c>
      <c r="AC6" s="508">
        <v>40</v>
      </c>
      <c r="AD6" s="508">
        <v>27.5</v>
      </c>
      <c r="AE6" s="508">
        <v>17.5</v>
      </c>
      <c r="AF6" s="508">
        <v>24</v>
      </c>
      <c r="AG6" s="508">
        <v>48</v>
      </c>
      <c r="AH6" s="508">
        <v>68</v>
      </c>
      <c r="AI6" s="508">
        <v>30</v>
      </c>
      <c r="AJ6" s="508">
        <v>33</v>
      </c>
      <c r="AK6" s="508">
        <v>30</v>
      </c>
      <c r="AL6" s="508">
        <v>33</v>
      </c>
      <c r="AM6" s="508">
        <v>40</v>
      </c>
      <c r="AN6" s="508">
        <v>20</v>
      </c>
      <c r="AO6" s="508">
        <v>42.5</v>
      </c>
      <c r="AP6" s="508">
        <v>47</v>
      </c>
      <c r="AQ6" s="508">
        <v>34</v>
      </c>
      <c r="AR6" s="508"/>
      <c r="AS6" s="508"/>
      <c r="AT6" s="508"/>
      <c r="AU6" s="508"/>
      <c r="AV6" s="508"/>
      <c r="AW6" s="508"/>
      <c r="AX6" s="508"/>
      <c r="AY6" s="508"/>
      <c r="AZ6" s="508"/>
      <c r="BA6" s="508"/>
      <c r="BB6" s="508"/>
      <c r="BC6" s="510">
        <f t="shared" ref="BC6:BC16" si="1">AVERAGE(C6:BB6)</f>
        <v>37.841463414634148</v>
      </c>
      <c r="BD6" s="511">
        <f t="shared" ref="BD6:BD16" si="2">IF(BC6&lt;5,5,BC6)</f>
        <v>37.841463414634148</v>
      </c>
      <c r="BE6" s="512">
        <f t="shared" si="0"/>
        <v>14</v>
      </c>
    </row>
    <row r="7" spans="1:57" ht="12">
      <c r="A7" s="514">
        <v>14</v>
      </c>
      <c r="B7" s="506" t="s">
        <v>198</v>
      </c>
      <c r="C7" s="508">
        <v>64</v>
      </c>
      <c r="D7" s="508">
        <v>77</v>
      </c>
      <c r="E7" s="508">
        <v>58</v>
      </c>
      <c r="F7" s="508">
        <v>93</v>
      </c>
      <c r="G7" s="508">
        <v>94</v>
      </c>
      <c r="H7" s="508">
        <v>80</v>
      </c>
      <c r="I7" s="508">
        <v>97.5</v>
      </c>
      <c r="J7" s="508">
        <v>66</v>
      </c>
      <c r="K7" s="508">
        <v>67.5</v>
      </c>
      <c r="L7" s="508">
        <v>62.5</v>
      </c>
      <c r="M7" s="508">
        <v>65</v>
      </c>
      <c r="N7" s="508">
        <v>60</v>
      </c>
      <c r="O7" s="508">
        <v>62.5</v>
      </c>
      <c r="P7" s="508">
        <v>78</v>
      </c>
      <c r="Q7" s="508">
        <v>85</v>
      </c>
      <c r="R7" s="508">
        <v>90</v>
      </c>
      <c r="S7" s="509">
        <v>77.5</v>
      </c>
      <c r="T7" s="508">
        <v>75</v>
      </c>
      <c r="U7" s="508">
        <v>83</v>
      </c>
      <c r="V7" s="508">
        <v>60</v>
      </c>
      <c r="W7" s="508">
        <v>47</v>
      </c>
      <c r="X7" s="508">
        <v>54</v>
      </c>
      <c r="Y7" s="508">
        <v>80</v>
      </c>
      <c r="Z7" s="508">
        <v>76</v>
      </c>
      <c r="AA7" s="508">
        <v>62.5</v>
      </c>
      <c r="AB7" s="508">
        <v>81</v>
      </c>
      <c r="AC7" s="508">
        <v>65.5</v>
      </c>
      <c r="AD7" s="508">
        <v>70</v>
      </c>
      <c r="AE7" s="508">
        <v>60</v>
      </c>
      <c r="AF7" s="508">
        <v>62.5</v>
      </c>
      <c r="AG7" s="508">
        <v>67.5</v>
      </c>
      <c r="AH7" s="508">
        <v>86.5</v>
      </c>
      <c r="AI7" s="506">
        <v>60</v>
      </c>
      <c r="AJ7" s="506">
        <v>50</v>
      </c>
      <c r="AK7" s="506">
        <v>82.5</v>
      </c>
      <c r="AL7" s="506">
        <v>78</v>
      </c>
      <c r="AM7" s="506">
        <v>87.5</v>
      </c>
      <c r="AN7" s="506">
        <v>81</v>
      </c>
      <c r="AO7" s="506">
        <v>80</v>
      </c>
      <c r="AP7" s="506">
        <v>60</v>
      </c>
      <c r="AQ7" s="506"/>
      <c r="AR7" s="506"/>
      <c r="AS7" s="506"/>
      <c r="AT7" s="506"/>
      <c r="AU7" s="506"/>
      <c r="AV7" s="506"/>
      <c r="AW7" s="508"/>
      <c r="AX7" s="508"/>
      <c r="AY7" s="508"/>
      <c r="AZ7" s="508"/>
      <c r="BA7" s="508"/>
      <c r="BB7" s="508"/>
      <c r="BC7" s="510">
        <f>AVERAGE(C7:BB7)</f>
        <v>72.174999999999997</v>
      </c>
      <c r="BD7" s="511">
        <f t="shared" si="2"/>
        <v>72.174999999999997</v>
      </c>
      <c r="BE7" s="512">
        <f t="shared" si="0"/>
        <v>1</v>
      </c>
    </row>
    <row r="8" spans="1:57" ht="12">
      <c r="A8" s="506">
        <v>15</v>
      </c>
      <c r="B8" s="506" t="s">
        <v>164</v>
      </c>
      <c r="C8" s="508">
        <v>81</v>
      </c>
      <c r="D8" s="508">
        <v>62.5</v>
      </c>
      <c r="E8" s="508">
        <v>67.5</v>
      </c>
      <c r="F8" s="508">
        <v>72.5</v>
      </c>
      <c r="G8" s="508">
        <v>64</v>
      </c>
      <c r="H8" s="508">
        <v>70</v>
      </c>
      <c r="I8" s="508">
        <v>39</v>
      </c>
      <c r="J8" s="508">
        <v>48</v>
      </c>
      <c r="K8" s="508">
        <v>53</v>
      </c>
      <c r="L8" s="508">
        <v>44</v>
      </c>
      <c r="M8" s="508">
        <v>81</v>
      </c>
      <c r="N8" s="508">
        <v>78</v>
      </c>
      <c r="O8" s="508">
        <v>52</v>
      </c>
      <c r="P8" s="508">
        <v>40</v>
      </c>
      <c r="Q8" s="508">
        <v>72</v>
      </c>
      <c r="R8" s="508">
        <v>35</v>
      </c>
      <c r="S8" s="508">
        <v>44</v>
      </c>
      <c r="T8" s="508">
        <v>42</v>
      </c>
      <c r="U8" s="508">
        <v>47.5</v>
      </c>
      <c r="V8" s="508">
        <v>35</v>
      </c>
      <c r="W8" s="508">
        <v>32.5</v>
      </c>
      <c r="X8" s="508">
        <v>40</v>
      </c>
      <c r="Y8" s="508">
        <v>62.5</v>
      </c>
      <c r="Z8" s="508">
        <v>62.5</v>
      </c>
      <c r="AA8" s="508">
        <v>42.5</v>
      </c>
      <c r="AB8" s="508">
        <v>42.5</v>
      </c>
      <c r="AC8" s="508">
        <v>52.5</v>
      </c>
      <c r="AD8" s="508">
        <v>84</v>
      </c>
      <c r="AE8" s="508">
        <v>78.5</v>
      </c>
      <c r="AF8" s="508">
        <v>77.5</v>
      </c>
      <c r="AG8" s="508">
        <v>56.5</v>
      </c>
      <c r="AH8" s="508">
        <v>59.5</v>
      </c>
      <c r="AI8" s="508">
        <v>48</v>
      </c>
      <c r="AJ8" s="506">
        <v>47.5</v>
      </c>
      <c r="AK8" s="506">
        <v>80</v>
      </c>
      <c r="AL8" s="506">
        <v>60</v>
      </c>
      <c r="AM8" s="506">
        <v>66</v>
      </c>
      <c r="AN8" s="506">
        <v>72</v>
      </c>
      <c r="AO8" s="506"/>
      <c r="AP8" s="506"/>
      <c r="AQ8" s="506"/>
      <c r="AR8" s="506"/>
      <c r="AS8" s="506"/>
      <c r="AT8" s="506"/>
      <c r="AU8" s="506"/>
      <c r="AV8" s="506"/>
      <c r="AW8" s="506"/>
      <c r="AX8" s="506"/>
      <c r="AY8" s="508"/>
      <c r="AZ8" s="508"/>
      <c r="BA8" s="508"/>
      <c r="BB8" s="508"/>
      <c r="BC8" s="510">
        <f>AVERAGE(C8:BB8)</f>
        <v>57.69736842105263</v>
      </c>
      <c r="BD8" s="511">
        <f t="shared" si="2"/>
        <v>57.69736842105263</v>
      </c>
      <c r="BE8" s="512">
        <f t="shared" si="0"/>
        <v>8</v>
      </c>
    </row>
    <row r="9" spans="1:57" s="497" customFormat="1" ht="12">
      <c r="A9" s="506">
        <v>16</v>
      </c>
      <c r="B9" s="506" t="s">
        <v>208</v>
      </c>
      <c r="C9" s="508">
        <v>43</v>
      </c>
      <c r="D9" s="508">
        <v>32.5</v>
      </c>
      <c r="E9" s="508">
        <v>45</v>
      </c>
      <c r="F9" s="508">
        <v>42.5</v>
      </c>
      <c r="G9" s="508">
        <v>70</v>
      </c>
      <c r="H9" s="508">
        <v>55</v>
      </c>
      <c r="I9" s="508">
        <v>39</v>
      </c>
      <c r="J9" s="508">
        <v>41</v>
      </c>
      <c r="K9" s="508">
        <v>46.5</v>
      </c>
      <c r="L9" s="508">
        <v>57</v>
      </c>
      <c r="M9" s="508">
        <v>31.5</v>
      </c>
      <c r="N9" s="508">
        <v>66</v>
      </c>
      <c r="O9" s="508">
        <v>22.5</v>
      </c>
      <c r="P9" s="508">
        <v>40</v>
      </c>
      <c r="Q9" s="508">
        <v>20</v>
      </c>
      <c r="R9" s="508">
        <v>17.5</v>
      </c>
      <c r="S9" s="508">
        <v>35</v>
      </c>
      <c r="T9" s="508">
        <v>37.5</v>
      </c>
      <c r="U9" s="508">
        <v>36</v>
      </c>
      <c r="V9" s="508">
        <v>30</v>
      </c>
      <c r="W9" s="508">
        <v>41</v>
      </c>
      <c r="X9" s="508">
        <v>40</v>
      </c>
      <c r="Y9" s="508">
        <v>70</v>
      </c>
      <c r="Z9" s="508">
        <v>37.5</v>
      </c>
      <c r="AA9" s="508">
        <v>25</v>
      </c>
      <c r="AB9" s="508">
        <v>30</v>
      </c>
      <c r="AC9" s="508">
        <v>35</v>
      </c>
      <c r="AD9" s="508">
        <v>68</v>
      </c>
      <c r="AE9" s="508">
        <v>60</v>
      </c>
      <c r="AF9" s="508">
        <v>40</v>
      </c>
      <c r="AG9" s="508">
        <v>44.5</v>
      </c>
      <c r="AH9" s="508">
        <v>50.5</v>
      </c>
      <c r="AI9" s="508">
        <v>52.5</v>
      </c>
      <c r="AJ9" s="508">
        <v>45</v>
      </c>
      <c r="AK9" s="508">
        <v>22.5</v>
      </c>
      <c r="AL9" s="508">
        <v>77</v>
      </c>
      <c r="AM9" s="508">
        <v>38</v>
      </c>
      <c r="AN9" s="508">
        <v>63</v>
      </c>
      <c r="AO9" s="508">
        <v>21</v>
      </c>
      <c r="AP9" s="508"/>
      <c r="AQ9" s="508"/>
      <c r="AR9" s="508"/>
      <c r="AS9" s="508"/>
      <c r="AT9" s="508"/>
      <c r="AU9" s="508"/>
      <c r="AV9" s="508"/>
      <c r="AW9" s="508"/>
      <c r="AX9" s="508"/>
      <c r="AY9" s="508"/>
      <c r="AZ9" s="508"/>
      <c r="BA9" s="508"/>
      <c r="BB9" s="508"/>
      <c r="BC9" s="510">
        <f t="shared" si="1"/>
        <v>42.769230769230766</v>
      </c>
      <c r="BD9" s="511">
        <f t="shared" si="2"/>
        <v>42.769230769230766</v>
      </c>
      <c r="BE9" s="512">
        <f t="shared" si="0"/>
        <v>11</v>
      </c>
    </row>
    <row r="10" spans="1:57" ht="18.75" customHeight="1">
      <c r="A10" s="506">
        <v>17</v>
      </c>
      <c r="B10" s="506" t="s">
        <v>167</v>
      </c>
      <c r="C10" s="508">
        <v>58</v>
      </c>
      <c r="D10" s="508">
        <v>77</v>
      </c>
      <c r="E10" s="508">
        <v>67.5</v>
      </c>
      <c r="F10" s="508">
        <v>59</v>
      </c>
      <c r="G10" s="508">
        <v>57.5</v>
      </c>
      <c r="H10" s="508">
        <v>95</v>
      </c>
      <c r="I10" s="508">
        <v>85</v>
      </c>
      <c r="J10" s="508">
        <v>67.5</v>
      </c>
      <c r="K10" s="508">
        <v>67.5</v>
      </c>
      <c r="L10" s="508">
        <v>75</v>
      </c>
      <c r="M10" s="508">
        <v>90</v>
      </c>
      <c r="N10" s="508">
        <v>67.5</v>
      </c>
      <c r="O10" s="508">
        <v>67.5</v>
      </c>
      <c r="P10" s="508">
        <v>50</v>
      </c>
      <c r="Q10" s="508">
        <v>75</v>
      </c>
      <c r="R10" s="508">
        <v>71</v>
      </c>
      <c r="S10" s="508">
        <v>92.5</v>
      </c>
      <c r="T10" s="508">
        <v>59.5</v>
      </c>
      <c r="U10" s="508">
        <v>90</v>
      </c>
      <c r="V10" s="508">
        <v>88</v>
      </c>
      <c r="W10" s="508">
        <v>93</v>
      </c>
      <c r="X10" s="508">
        <v>92.5</v>
      </c>
      <c r="Y10" s="508">
        <v>71</v>
      </c>
      <c r="Z10" s="508">
        <v>77.5</v>
      </c>
      <c r="AA10" s="508">
        <v>60</v>
      </c>
      <c r="AB10" s="508">
        <v>75</v>
      </c>
      <c r="AC10" s="508">
        <v>80</v>
      </c>
      <c r="AD10" s="508">
        <v>77</v>
      </c>
      <c r="AE10" s="508">
        <v>60</v>
      </c>
      <c r="AF10" s="508">
        <v>62.5</v>
      </c>
      <c r="AG10" s="508">
        <v>62.5</v>
      </c>
      <c r="AH10" s="508">
        <v>55</v>
      </c>
      <c r="AI10" s="508">
        <v>77.5</v>
      </c>
      <c r="AJ10" s="508">
        <v>54</v>
      </c>
      <c r="AK10" s="508">
        <v>65</v>
      </c>
      <c r="AL10" s="508"/>
      <c r="AM10" s="508"/>
      <c r="AN10" s="508"/>
      <c r="AO10" s="508"/>
      <c r="AP10" s="508"/>
      <c r="AQ10" s="508"/>
      <c r="AR10" s="508"/>
      <c r="AS10" s="508"/>
      <c r="AT10" s="508"/>
      <c r="AU10" s="508"/>
      <c r="AV10" s="508"/>
      <c r="AW10" s="508"/>
      <c r="AX10" s="508"/>
      <c r="AY10" s="508"/>
      <c r="AZ10" s="508"/>
      <c r="BA10" s="508"/>
      <c r="BB10" s="508"/>
      <c r="BC10" s="510">
        <f t="shared" si="1"/>
        <v>72.071428571428569</v>
      </c>
      <c r="BD10" s="511">
        <f t="shared" si="2"/>
        <v>72.071428571428569</v>
      </c>
      <c r="BE10" s="512">
        <f t="shared" si="0"/>
        <v>2</v>
      </c>
    </row>
    <row r="11" spans="1:57" ht="12">
      <c r="A11" s="506">
        <v>18</v>
      </c>
      <c r="B11" s="506" t="s">
        <v>209</v>
      </c>
      <c r="C11" s="508">
        <v>64.5</v>
      </c>
      <c r="D11" s="508">
        <v>60</v>
      </c>
      <c r="E11" s="508">
        <v>86</v>
      </c>
      <c r="F11" s="508">
        <v>45</v>
      </c>
      <c r="G11" s="508">
        <v>70</v>
      </c>
      <c r="H11" s="508">
        <v>72</v>
      </c>
      <c r="I11" s="508">
        <v>70</v>
      </c>
      <c r="J11" s="508">
        <v>70</v>
      </c>
      <c r="K11" s="508">
        <v>60</v>
      </c>
      <c r="L11" s="508">
        <v>50</v>
      </c>
      <c r="M11" s="508">
        <v>70</v>
      </c>
      <c r="N11" s="508">
        <v>53</v>
      </c>
      <c r="O11" s="508">
        <v>55</v>
      </c>
      <c r="P11" s="508">
        <v>69</v>
      </c>
      <c r="Q11" s="508">
        <v>65</v>
      </c>
      <c r="R11" s="508">
        <v>67</v>
      </c>
      <c r="S11" s="508">
        <v>68</v>
      </c>
      <c r="T11" s="508">
        <v>68</v>
      </c>
      <c r="U11" s="508">
        <v>60</v>
      </c>
      <c r="V11" s="508">
        <v>47.5</v>
      </c>
      <c r="W11" s="508">
        <v>90</v>
      </c>
      <c r="X11" s="508">
        <v>70</v>
      </c>
      <c r="Y11" s="508">
        <v>68</v>
      </c>
      <c r="Z11" s="508">
        <v>57.5</v>
      </c>
      <c r="AA11" s="508">
        <v>32</v>
      </c>
      <c r="AB11" s="508">
        <v>55</v>
      </c>
      <c r="AC11" s="508">
        <v>40</v>
      </c>
      <c r="AD11" s="508">
        <v>50</v>
      </c>
      <c r="AE11" s="508">
        <v>70</v>
      </c>
      <c r="AF11" s="508">
        <v>54.5</v>
      </c>
      <c r="AG11" s="508">
        <v>37</v>
      </c>
      <c r="AH11" s="508">
        <v>40</v>
      </c>
      <c r="AI11" s="508"/>
      <c r="AJ11" s="508"/>
      <c r="AK11" s="508"/>
      <c r="AL11" s="508"/>
      <c r="AM11" s="508"/>
      <c r="AN11" s="508"/>
      <c r="AO11" s="508"/>
      <c r="AP11" s="508"/>
      <c r="AQ11" s="508"/>
      <c r="AR11" s="508"/>
      <c r="AS11" s="508"/>
      <c r="AT11" s="508"/>
      <c r="AU11" s="508"/>
      <c r="AV11" s="508"/>
      <c r="AW11" s="508"/>
      <c r="AX11" s="508"/>
      <c r="AY11" s="508"/>
      <c r="AZ11" s="508"/>
      <c r="BA11" s="508"/>
      <c r="BB11" s="508"/>
      <c r="BC11" s="510">
        <f t="shared" si="1"/>
        <v>60.4375</v>
      </c>
      <c r="BD11" s="511">
        <f t="shared" si="2"/>
        <v>60.4375</v>
      </c>
      <c r="BE11" s="512">
        <f t="shared" si="0"/>
        <v>6</v>
      </c>
    </row>
    <row r="12" spans="1:57" s="497" customFormat="1" ht="12">
      <c r="A12" s="514">
        <v>19</v>
      </c>
      <c r="B12" s="506" t="s">
        <v>170</v>
      </c>
      <c r="C12" s="508">
        <v>40</v>
      </c>
      <c r="D12" s="508">
        <v>59.5</v>
      </c>
      <c r="E12" s="508">
        <v>60</v>
      </c>
      <c r="F12" s="508">
        <v>90</v>
      </c>
      <c r="G12" s="508">
        <v>40</v>
      </c>
      <c r="H12" s="508">
        <v>55</v>
      </c>
      <c r="I12" s="508">
        <v>74.5</v>
      </c>
      <c r="J12" s="508">
        <v>87</v>
      </c>
      <c r="K12" s="508">
        <v>57.5</v>
      </c>
      <c r="L12" s="508">
        <v>47.5</v>
      </c>
      <c r="M12" s="508">
        <v>40</v>
      </c>
      <c r="N12" s="508">
        <v>80</v>
      </c>
      <c r="O12" s="508">
        <v>54.5</v>
      </c>
      <c r="P12" s="508">
        <v>80</v>
      </c>
      <c r="Q12" s="508">
        <v>67.5</v>
      </c>
      <c r="R12" s="508">
        <v>40</v>
      </c>
      <c r="S12" s="508">
        <v>67.5</v>
      </c>
      <c r="T12" s="508">
        <v>75</v>
      </c>
      <c r="U12" s="508">
        <v>71</v>
      </c>
      <c r="V12" s="508">
        <v>49</v>
      </c>
      <c r="W12" s="508">
        <v>72</v>
      </c>
      <c r="X12" s="508">
        <v>52.5</v>
      </c>
      <c r="Y12" s="508">
        <v>47.506999999999998</v>
      </c>
      <c r="Z12" s="508">
        <v>70</v>
      </c>
      <c r="AA12" s="508">
        <v>67.5</v>
      </c>
      <c r="AB12" s="508">
        <v>77</v>
      </c>
      <c r="AC12" s="508">
        <v>55</v>
      </c>
      <c r="AD12" s="508">
        <v>35</v>
      </c>
      <c r="AE12" s="508">
        <v>32.5</v>
      </c>
      <c r="AF12" s="508">
        <v>40</v>
      </c>
      <c r="AG12" s="508">
        <v>62.5</v>
      </c>
      <c r="AH12" s="508">
        <v>55</v>
      </c>
      <c r="AI12" s="508">
        <v>37</v>
      </c>
      <c r="AJ12" s="508">
        <v>52.5</v>
      </c>
      <c r="AK12" s="508"/>
      <c r="AL12" s="508"/>
      <c r="AM12" s="508"/>
      <c r="AN12" s="508"/>
      <c r="AO12" s="508"/>
      <c r="AP12" s="508"/>
      <c r="AQ12" s="508"/>
      <c r="AR12" s="508"/>
      <c r="AS12" s="508"/>
      <c r="AT12" s="508"/>
      <c r="AU12" s="508"/>
      <c r="AV12" s="508"/>
      <c r="AW12" s="508"/>
      <c r="AX12" s="508"/>
      <c r="AY12" s="508"/>
      <c r="AZ12" s="508"/>
      <c r="BA12" s="508"/>
      <c r="BB12" s="508"/>
      <c r="BC12" s="510">
        <f t="shared" si="1"/>
        <v>58.573735294117647</v>
      </c>
      <c r="BD12" s="511">
        <f t="shared" si="2"/>
        <v>58.573735294117647</v>
      </c>
      <c r="BE12" s="512">
        <f t="shared" si="0"/>
        <v>7</v>
      </c>
    </row>
    <row r="13" spans="1:57" ht="12">
      <c r="A13" s="506">
        <v>20</v>
      </c>
      <c r="B13" s="506" t="s">
        <v>166</v>
      </c>
      <c r="C13" s="513">
        <v>40</v>
      </c>
      <c r="D13" s="513">
        <v>35</v>
      </c>
      <c r="E13" s="513">
        <v>70</v>
      </c>
      <c r="F13" s="513">
        <v>92.5</v>
      </c>
      <c r="G13" s="513">
        <v>76</v>
      </c>
      <c r="H13" s="508">
        <v>52.5</v>
      </c>
      <c r="I13" s="513">
        <v>67.5</v>
      </c>
      <c r="J13" s="513">
        <v>83.5</v>
      </c>
      <c r="K13" s="513">
        <v>84</v>
      </c>
      <c r="L13" s="513">
        <v>57.5</v>
      </c>
      <c r="M13" s="513">
        <v>60</v>
      </c>
      <c r="N13" s="513">
        <v>57.5</v>
      </c>
      <c r="O13" s="513">
        <v>69</v>
      </c>
      <c r="P13" s="513">
        <v>63</v>
      </c>
      <c r="Q13" s="513">
        <v>72.5</v>
      </c>
      <c r="R13" s="513">
        <v>81</v>
      </c>
      <c r="S13" s="513">
        <v>55</v>
      </c>
      <c r="T13" s="513">
        <v>90</v>
      </c>
      <c r="U13" s="513">
        <v>85</v>
      </c>
      <c r="V13" s="513">
        <v>88</v>
      </c>
      <c r="W13" s="513">
        <v>68</v>
      </c>
      <c r="X13" s="513">
        <v>77.5</v>
      </c>
      <c r="Y13" s="513">
        <v>83.5</v>
      </c>
      <c r="Z13" s="513">
        <v>85</v>
      </c>
      <c r="AA13" s="513">
        <v>74</v>
      </c>
      <c r="AB13" s="513">
        <v>77.5</v>
      </c>
      <c r="AC13" s="513">
        <v>42</v>
      </c>
      <c r="AD13" s="513">
        <v>55</v>
      </c>
      <c r="AE13" s="513">
        <v>60</v>
      </c>
      <c r="AF13" s="513">
        <v>44</v>
      </c>
      <c r="AG13" s="513">
        <v>75</v>
      </c>
      <c r="AH13" s="513">
        <v>46</v>
      </c>
      <c r="AI13" s="513">
        <v>57.5</v>
      </c>
      <c r="AP13" s="508"/>
      <c r="AQ13" s="508"/>
      <c r="AR13" s="508"/>
      <c r="AS13" s="508"/>
      <c r="AT13" s="508"/>
      <c r="AU13" s="508"/>
      <c r="AV13" s="508"/>
      <c r="AW13" s="508"/>
      <c r="AX13" s="508"/>
      <c r="AY13" s="508"/>
      <c r="AZ13" s="508"/>
      <c r="BA13" s="508"/>
      <c r="BB13" s="508"/>
      <c r="BC13" s="510">
        <f t="shared" si="1"/>
        <v>67.409090909090907</v>
      </c>
      <c r="BD13" s="511">
        <f t="shared" si="2"/>
        <v>67.409090909090907</v>
      </c>
      <c r="BE13" s="512">
        <f t="shared" si="0"/>
        <v>3</v>
      </c>
    </row>
    <row r="14" spans="1:57" ht="12">
      <c r="A14" s="514">
        <v>21</v>
      </c>
      <c r="B14" s="506" t="s">
        <v>165</v>
      </c>
      <c r="C14" s="508">
        <v>46</v>
      </c>
      <c r="D14" s="508">
        <v>85</v>
      </c>
      <c r="E14" s="508">
        <v>52</v>
      </c>
      <c r="F14" s="508">
        <v>45</v>
      </c>
      <c r="G14" s="508">
        <v>60</v>
      </c>
      <c r="H14" s="508">
        <v>47.5</v>
      </c>
      <c r="I14" s="508">
        <v>65.5</v>
      </c>
      <c r="J14" s="508">
        <v>95</v>
      </c>
      <c r="K14" s="508">
        <v>80</v>
      </c>
      <c r="L14" s="508">
        <v>50</v>
      </c>
      <c r="M14" s="508">
        <v>60</v>
      </c>
      <c r="N14" s="508">
        <v>60</v>
      </c>
      <c r="O14" s="508">
        <v>76</v>
      </c>
      <c r="P14" s="508">
        <v>37.5</v>
      </c>
      <c r="Q14" s="508">
        <v>65</v>
      </c>
      <c r="R14" s="508">
        <v>40</v>
      </c>
      <c r="S14" s="508">
        <v>67</v>
      </c>
      <c r="T14" s="508">
        <v>64</v>
      </c>
      <c r="U14" s="508">
        <v>79</v>
      </c>
      <c r="V14" s="508">
        <v>71</v>
      </c>
      <c r="W14" s="508">
        <v>52.5</v>
      </c>
      <c r="X14" s="508">
        <v>67.5</v>
      </c>
      <c r="Y14" s="508">
        <v>68</v>
      </c>
      <c r="Z14" s="508">
        <v>69</v>
      </c>
      <c r="AA14" s="508">
        <v>69</v>
      </c>
      <c r="AB14" s="508">
        <v>64</v>
      </c>
      <c r="AC14" s="508">
        <v>60</v>
      </c>
      <c r="AD14" s="508">
        <v>62.5</v>
      </c>
      <c r="AE14" s="508">
        <v>81.5</v>
      </c>
      <c r="AF14" s="508">
        <v>70</v>
      </c>
      <c r="AG14" s="508">
        <v>73</v>
      </c>
      <c r="AH14" s="508">
        <v>77.5</v>
      </c>
      <c r="AI14" s="508">
        <v>48</v>
      </c>
      <c r="AJ14" s="508">
        <v>67</v>
      </c>
      <c r="AK14" s="508">
        <v>37.5</v>
      </c>
      <c r="AL14" s="508">
        <v>67.5</v>
      </c>
      <c r="AM14" s="508"/>
      <c r="AN14" s="508"/>
      <c r="AO14" s="508"/>
      <c r="AP14" s="508"/>
      <c r="AQ14" s="508"/>
      <c r="AR14" s="508"/>
      <c r="AS14" s="508"/>
      <c r="AT14" s="508"/>
      <c r="AU14" s="508"/>
      <c r="AV14" s="508"/>
      <c r="AW14" s="508"/>
      <c r="AX14" s="508"/>
      <c r="AY14" s="508"/>
      <c r="AZ14" s="508"/>
      <c r="BA14" s="508"/>
      <c r="BB14" s="508"/>
      <c r="BC14" s="510">
        <f>AVERAGE(C14:BB14)</f>
        <v>63.333333333333336</v>
      </c>
      <c r="BD14" s="511">
        <f t="shared" si="2"/>
        <v>63.333333333333336</v>
      </c>
      <c r="BE14" s="512">
        <f t="shared" si="0"/>
        <v>4</v>
      </c>
    </row>
    <row r="15" spans="1:57" ht="12">
      <c r="A15" s="514">
        <v>22</v>
      </c>
      <c r="B15" s="506" t="s">
        <v>172</v>
      </c>
      <c r="C15" s="508">
        <v>40</v>
      </c>
      <c r="D15" s="508">
        <v>57.5</v>
      </c>
      <c r="E15" s="508">
        <v>33</v>
      </c>
      <c r="F15" s="508">
        <v>35</v>
      </c>
      <c r="G15" s="508">
        <v>50</v>
      </c>
      <c r="H15" s="508">
        <v>35</v>
      </c>
      <c r="I15" s="508">
        <v>40</v>
      </c>
      <c r="J15" s="508">
        <v>52</v>
      </c>
      <c r="K15" s="508">
        <v>51</v>
      </c>
      <c r="L15" s="508">
        <v>52.5</v>
      </c>
      <c r="M15" s="508">
        <v>33</v>
      </c>
      <c r="N15" s="508">
        <v>35</v>
      </c>
      <c r="O15" s="508">
        <v>55</v>
      </c>
      <c r="P15" s="508">
        <v>66</v>
      </c>
      <c r="Q15" s="508">
        <v>75</v>
      </c>
      <c r="R15" s="508">
        <v>40</v>
      </c>
      <c r="S15" s="508">
        <v>71</v>
      </c>
      <c r="T15" s="508">
        <v>57.5</v>
      </c>
      <c r="U15" s="508">
        <v>39</v>
      </c>
      <c r="V15" s="508">
        <v>32.5</v>
      </c>
      <c r="W15" s="508">
        <v>52.5</v>
      </c>
      <c r="X15" s="508">
        <v>35</v>
      </c>
      <c r="Y15" s="508">
        <v>67.5</v>
      </c>
      <c r="Z15" s="508">
        <v>42</v>
      </c>
      <c r="AA15" s="508">
        <v>40</v>
      </c>
      <c r="AB15" s="508"/>
      <c r="AC15" s="508"/>
      <c r="AD15" s="508"/>
      <c r="AE15" s="508"/>
      <c r="AF15" s="508"/>
      <c r="AG15" s="508"/>
      <c r="AH15" s="508"/>
      <c r="AI15" s="508"/>
      <c r="AJ15" s="508"/>
      <c r="AK15" s="508"/>
      <c r="AL15" s="508"/>
      <c r="AM15" s="508"/>
      <c r="AN15" s="508"/>
      <c r="AO15" s="508"/>
      <c r="AP15" s="508"/>
      <c r="AQ15" s="508"/>
      <c r="AR15" s="508"/>
      <c r="AS15" s="508"/>
      <c r="AT15" s="508"/>
      <c r="AU15" s="508"/>
      <c r="AV15" s="508"/>
      <c r="AW15" s="508"/>
      <c r="AX15" s="508"/>
      <c r="AY15" s="508"/>
      <c r="AZ15" s="508"/>
      <c r="BA15" s="508"/>
      <c r="BB15" s="508"/>
      <c r="BC15" s="510">
        <f t="shared" si="1"/>
        <v>47.48</v>
      </c>
      <c r="BD15" s="511">
        <f t="shared" si="2"/>
        <v>47.48</v>
      </c>
      <c r="BE15" s="512">
        <f t="shared" si="0"/>
        <v>10</v>
      </c>
    </row>
    <row r="16" spans="1:57" ht="12">
      <c r="A16" s="506">
        <v>23</v>
      </c>
      <c r="B16" s="506" t="s">
        <v>210</v>
      </c>
      <c r="C16" s="515">
        <v>54</v>
      </c>
      <c r="D16" s="515">
        <v>55</v>
      </c>
      <c r="E16" s="515">
        <v>42</v>
      </c>
      <c r="F16" s="515">
        <v>60</v>
      </c>
      <c r="G16" s="515">
        <v>39</v>
      </c>
      <c r="H16" s="508">
        <v>65</v>
      </c>
      <c r="I16" s="515">
        <v>30</v>
      </c>
      <c r="J16" s="515">
        <v>44.5</v>
      </c>
      <c r="K16" s="515">
        <v>36</v>
      </c>
      <c r="L16" s="515">
        <v>57.5</v>
      </c>
      <c r="M16" s="515">
        <v>56</v>
      </c>
      <c r="N16" s="515">
        <v>48</v>
      </c>
      <c r="O16" s="515">
        <v>66</v>
      </c>
      <c r="P16" s="515">
        <v>37.5</v>
      </c>
      <c r="Q16" s="515">
        <v>47.5</v>
      </c>
      <c r="R16" s="515">
        <v>63</v>
      </c>
      <c r="S16" s="515">
        <v>54</v>
      </c>
      <c r="T16" s="515">
        <v>49</v>
      </c>
      <c r="U16" s="515">
        <v>55</v>
      </c>
      <c r="V16" s="515">
        <v>43.5</v>
      </c>
      <c r="W16" s="515">
        <v>45</v>
      </c>
      <c r="X16" s="515">
        <v>67</v>
      </c>
      <c r="Y16" s="515">
        <v>50</v>
      </c>
      <c r="Z16" s="515">
        <v>40</v>
      </c>
      <c r="AA16" s="515">
        <v>44</v>
      </c>
      <c r="AB16" s="515">
        <v>42.5</v>
      </c>
      <c r="AC16" s="515">
        <v>52.5</v>
      </c>
      <c r="AD16" s="515">
        <v>42.5</v>
      </c>
      <c r="AE16" s="515">
        <v>75</v>
      </c>
      <c r="AF16" s="515">
        <v>60.5</v>
      </c>
      <c r="AG16" s="515">
        <v>57.5</v>
      </c>
      <c r="AH16" s="515">
        <v>55</v>
      </c>
      <c r="AI16" s="515">
        <v>77</v>
      </c>
      <c r="AJ16" s="515">
        <v>55</v>
      </c>
      <c r="AK16" s="515">
        <v>39</v>
      </c>
      <c r="AL16" s="515">
        <v>40</v>
      </c>
      <c r="AM16" s="515"/>
      <c r="AN16" s="515"/>
      <c r="AO16" s="515"/>
      <c r="AP16" s="515"/>
      <c r="AQ16" s="515"/>
      <c r="AR16" s="515"/>
      <c r="AS16" s="515"/>
      <c r="AT16" s="515"/>
      <c r="AU16" s="515"/>
      <c r="AV16" s="515"/>
      <c r="AW16" s="515"/>
      <c r="AX16" s="515"/>
      <c r="AY16" s="515"/>
      <c r="AZ16" s="515"/>
      <c r="BA16" s="515"/>
      <c r="BB16" s="515"/>
      <c r="BC16" s="510">
        <f t="shared" si="1"/>
        <v>51.25</v>
      </c>
      <c r="BD16" s="511">
        <f t="shared" si="2"/>
        <v>51.25</v>
      </c>
      <c r="BE16" s="512">
        <f t="shared" si="0"/>
        <v>9</v>
      </c>
    </row>
    <row r="17" spans="1:57" ht="12">
      <c r="A17" s="506">
        <v>26</v>
      </c>
      <c r="B17" s="506" t="s">
        <v>169</v>
      </c>
      <c r="C17" s="506">
        <v>40</v>
      </c>
      <c r="D17" s="506">
        <v>41</v>
      </c>
      <c r="E17" s="506">
        <v>40</v>
      </c>
      <c r="F17" s="506">
        <v>45</v>
      </c>
      <c r="G17" s="506">
        <v>37.5</v>
      </c>
      <c r="H17" s="508">
        <v>35</v>
      </c>
      <c r="I17" s="506">
        <v>52.5</v>
      </c>
      <c r="J17" s="506">
        <v>46</v>
      </c>
      <c r="K17" s="506">
        <v>43.5</v>
      </c>
      <c r="L17" s="506">
        <v>37</v>
      </c>
      <c r="M17" s="506">
        <v>55</v>
      </c>
      <c r="N17" s="506">
        <v>20</v>
      </c>
      <c r="O17" s="506">
        <v>35</v>
      </c>
      <c r="P17" s="506">
        <v>53</v>
      </c>
      <c r="Q17" s="506">
        <v>65</v>
      </c>
      <c r="R17" s="506">
        <v>55</v>
      </c>
      <c r="S17" s="506">
        <v>40</v>
      </c>
      <c r="T17" s="506">
        <v>55</v>
      </c>
      <c r="U17" s="506">
        <v>35</v>
      </c>
      <c r="V17" s="506">
        <v>33</v>
      </c>
      <c r="W17" s="506">
        <v>29</v>
      </c>
      <c r="X17" s="506">
        <v>22.5</v>
      </c>
      <c r="Y17" s="506">
        <v>35</v>
      </c>
      <c r="Z17" s="506">
        <v>46</v>
      </c>
      <c r="AA17" s="506">
        <v>40</v>
      </c>
      <c r="AB17" s="506">
        <v>34</v>
      </c>
      <c r="AC17" s="506">
        <v>47</v>
      </c>
      <c r="AD17" s="506">
        <v>42.5</v>
      </c>
      <c r="AE17" s="506"/>
      <c r="AF17" s="506"/>
      <c r="AG17" s="506"/>
      <c r="AH17" s="506"/>
      <c r="AI17" s="506"/>
      <c r="AJ17" s="506"/>
      <c r="AK17" s="506"/>
      <c r="AL17" s="506"/>
      <c r="AM17" s="506"/>
      <c r="AN17" s="506"/>
      <c r="AO17" s="506"/>
      <c r="AP17" s="506"/>
      <c r="AQ17" s="506"/>
      <c r="AR17" s="506"/>
      <c r="AS17" s="506"/>
      <c r="AT17" s="515"/>
      <c r="AU17" s="515"/>
      <c r="AV17" s="515"/>
      <c r="AW17" s="515"/>
      <c r="AX17" s="515"/>
      <c r="AY17" s="515"/>
      <c r="AZ17" s="515"/>
      <c r="BA17" s="515"/>
      <c r="BB17" s="515"/>
      <c r="BC17" s="510">
        <f t="shared" ref="BC17" si="3">AVERAGE(C17:BB17)</f>
        <v>41.410714285714285</v>
      </c>
      <c r="BD17" s="511">
        <f t="shared" ref="BD17" si="4">IF(BC17&lt;5,5,BC17)</f>
        <v>41.410714285714285</v>
      </c>
      <c r="BE17" s="512">
        <f t="shared" si="0"/>
        <v>12</v>
      </c>
    </row>
    <row r="18" spans="1:57">
      <c r="C18" s="494"/>
      <c r="BC18" s="516"/>
      <c r="BD18" s="499"/>
    </row>
    <row r="19" spans="1:57" ht="18" customHeight="1">
      <c r="C19" s="655"/>
      <c r="D19" s="655"/>
      <c r="E19" s="655"/>
      <c r="F19" s="656"/>
      <c r="G19" s="655"/>
      <c r="H19" s="654"/>
      <c r="I19" s="655"/>
      <c r="J19" s="655"/>
      <c r="K19" s="655"/>
      <c r="L19" s="655"/>
      <c r="M19" s="654"/>
      <c r="N19" s="655"/>
      <c r="O19" s="654"/>
      <c r="P19" s="657"/>
      <c r="Q19" s="655"/>
      <c r="R19" s="658"/>
      <c r="S19" s="655"/>
      <c r="T19" s="655"/>
      <c r="U19" s="655"/>
      <c r="V19" s="655"/>
      <c r="W19" s="655"/>
      <c r="X19" s="655"/>
      <c r="Y19" s="655"/>
      <c r="Z19" s="655"/>
      <c r="AA19" s="655"/>
      <c r="AB19" s="654"/>
      <c r="AC19" s="655"/>
      <c r="AD19" s="655"/>
      <c r="AE19" s="655"/>
      <c r="AF19" s="660"/>
      <c r="AG19" s="654"/>
      <c r="AH19" s="655"/>
      <c r="AI19" s="655"/>
      <c r="AJ19" s="655"/>
      <c r="AK19" s="654"/>
      <c r="AL19" s="659"/>
      <c r="AM19" s="660"/>
      <c r="AN19" s="655"/>
      <c r="AO19" s="655"/>
      <c r="AP19" s="655"/>
      <c r="AQ19" s="655"/>
      <c r="AR19" s="655"/>
      <c r="AS19" s="655"/>
      <c r="AT19" s="655"/>
      <c r="AU19" s="517"/>
      <c r="AV19" s="517"/>
      <c r="AW19" s="517"/>
      <c r="AX19" s="517"/>
      <c r="AY19" s="517"/>
      <c r="AZ19" s="517"/>
      <c r="BA19" s="517"/>
      <c r="BB19" s="517"/>
    </row>
    <row r="20" spans="1:57" ht="12.75" customHeight="1">
      <c r="C20" s="655"/>
      <c r="D20" s="655"/>
      <c r="E20" s="655"/>
      <c r="F20" s="656"/>
      <c r="G20" s="655"/>
      <c r="H20" s="654"/>
      <c r="I20" s="655"/>
      <c r="J20" s="655"/>
      <c r="K20" s="655"/>
      <c r="L20" s="655"/>
      <c r="M20" s="654"/>
      <c r="N20" s="655"/>
      <c r="O20" s="654"/>
      <c r="P20" s="657"/>
      <c r="Q20" s="655"/>
      <c r="R20" s="658"/>
      <c r="S20" s="655"/>
      <c r="T20" s="655"/>
      <c r="U20" s="655"/>
      <c r="V20" s="655"/>
      <c r="W20" s="655"/>
      <c r="X20" s="655"/>
      <c r="Y20" s="655"/>
      <c r="Z20" s="655"/>
      <c r="AA20" s="655"/>
      <c r="AB20" s="654"/>
      <c r="AC20" s="655"/>
      <c r="AD20" s="655"/>
      <c r="AE20" s="655"/>
      <c r="AF20" s="660"/>
      <c r="AG20" s="654"/>
      <c r="AH20" s="655"/>
      <c r="AI20" s="655"/>
      <c r="AJ20" s="655"/>
      <c r="AK20" s="654"/>
      <c r="AL20" s="659"/>
      <c r="AM20" s="660"/>
      <c r="AN20" s="655"/>
      <c r="AO20" s="655"/>
      <c r="AP20" s="655"/>
      <c r="AQ20" s="655"/>
      <c r="AR20" s="655"/>
      <c r="AS20" s="655"/>
      <c r="AT20" s="655"/>
      <c r="AU20" s="517"/>
      <c r="AV20" s="517"/>
      <c r="AW20" s="517"/>
      <c r="AX20" s="517"/>
      <c r="AY20" s="517"/>
      <c r="AZ20" s="517"/>
      <c r="BA20" s="517"/>
      <c r="BB20" s="517"/>
    </row>
    <row r="21" spans="1:57" ht="12.75" customHeight="1">
      <c r="C21" s="655"/>
      <c r="D21" s="655"/>
      <c r="E21" s="655"/>
      <c r="F21" s="656"/>
      <c r="G21" s="655"/>
      <c r="H21" s="654"/>
      <c r="I21" s="655"/>
      <c r="J21" s="655"/>
      <c r="K21" s="655"/>
      <c r="L21" s="655"/>
      <c r="M21" s="654"/>
      <c r="N21" s="655"/>
      <c r="O21" s="654"/>
      <c r="P21" s="657"/>
      <c r="Q21" s="655"/>
      <c r="R21" s="658"/>
      <c r="S21" s="655"/>
      <c r="T21" s="655"/>
      <c r="U21" s="655"/>
      <c r="V21" s="655"/>
      <c r="W21" s="655"/>
      <c r="X21" s="655"/>
      <c r="Y21" s="655"/>
      <c r="Z21" s="655"/>
      <c r="AA21" s="655"/>
      <c r="AB21" s="654"/>
      <c r="AC21" s="655"/>
      <c r="AD21" s="655"/>
      <c r="AE21" s="655"/>
      <c r="AF21" s="660"/>
      <c r="AG21" s="654"/>
      <c r="AH21" s="655"/>
      <c r="AI21" s="655"/>
      <c r="AJ21" s="655"/>
      <c r="AK21" s="654"/>
      <c r="AL21" s="659"/>
      <c r="AM21" s="660"/>
      <c r="AN21" s="655"/>
      <c r="AO21" s="655"/>
      <c r="AP21" s="655"/>
      <c r="AQ21" s="655"/>
      <c r="AR21" s="655"/>
      <c r="AS21" s="655"/>
      <c r="AT21" s="655"/>
      <c r="AU21" s="517"/>
      <c r="AV21" s="517"/>
      <c r="AW21" s="517"/>
      <c r="AX21" s="517"/>
      <c r="AY21" s="517"/>
      <c r="AZ21" s="517"/>
      <c r="BA21" s="517"/>
      <c r="BB21" s="517"/>
    </row>
    <row r="22" spans="1:57" ht="12.75" customHeight="1">
      <c r="C22" s="655"/>
      <c r="D22" s="655"/>
      <c r="E22" s="655"/>
      <c r="F22" s="656"/>
      <c r="G22" s="655"/>
      <c r="H22" s="654"/>
      <c r="I22" s="655"/>
      <c r="J22" s="655"/>
      <c r="K22" s="655"/>
      <c r="L22" s="655"/>
      <c r="M22" s="654"/>
      <c r="N22" s="655"/>
      <c r="O22" s="654"/>
      <c r="P22" s="657"/>
      <c r="Q22" s="655"/>
      <c r="R22" s="658"/>
      <c r="S22" s="655"/>
      <c r="T22" s="655"/>
      <c r="U22" s="655"/>
      <c r="V22" s="655"/>
      <c r="W22" s="655"/>
      <c r="X22" s="655"/>
      <c r="Y22" s="655"/>
      <c r="Z22" s="655"/>
      <c r="AA22" s="655"/>
      <c r="AB22" s="654"/>
      <c r="AC22" s="655"/>
      <c r="AD22" s="655"/>
      <c r="AE22" s="655"/>
      <c r="AF22" s="660"/>
      <c r="AG22" s="654"/>
      <c r="AH22" s="655"/>
      <c r="AI22" s="655"/>
      <c r="AJ22" s="655"/>
      <c r="AK22" s="654"/>
      <c r="AL22" s="659"/>
      <c r="AM22" s="660"/>
      <c r="AN22" s="655"/>
      <c r="AO22" s="655"/>
      <c r="AP22" s="655"/>
      <c r="AQ22" s="655"/>
      <c r="AR22" s="655"/>
      <c r="AS22" s="655"/>
      <c r="AT22" s="655"/>
      <c r="AU22" s="517"/>
      <c r="AV22" s="517"/>
      <c r="AW22" s="517"/>
      <c r="AX22" s="517"/>
      <c r="AY22" s="517"/>
      <c r="AZ22" s="517"/>
      <c r="BA22" s="517"/>
      <c r="BB22" s="517"/>
    </row>
    <row r="23" spans="1:57" ht="12.75" customHeight="1">
      <c r="C23" s="655"/>
      <c r="D23" s="655"/>
      <c r="E23" s="655"/>
      <c r="F23" s="656"/>
      <c r="G23" s="655"/>
      <c r="H23" s="654"/>
      <c r="I23" s="655"/>
      <c r="J23" s="655"/>
      <c r="K23" s="655"/>
      <c r="L23" s="655"/>
      <c r="M23" s="654"/>
      <c r="N23" s="655"/>
      <c r="O23" s="654"/>
      <c r="P23" s="657"/>
      <c r="Q23" s="655"/>
      <c r="R23" s="658"/>
      <c r="S23" s="655"/>
      <c r="T23" s="655"/>
      <c r="U23" s="655"/>
      <c r="V23" s="655"/>
      <c r="W23" s="655"/>
      <c r="X23" s="655"/>
      <c r="Y23" s="655"/>
      <c r="Z23" s="655"/>
      <c r="AA23" s="655"/>
      <c r="AB23" s="654"/>
      <c r="AC23" s="655"/>
      <c r="AD23" s="655"/>
      <c r="AE23" s="655"/>
      <c r="AF23" s="660"/>
      <c r="AG23" s="654"/>
      <c r="AH23" s="655"/>
      <c r="AI23" s="655"/>
      <c r="AJ23" s="655"/>
      <c r="AK23" s="654"/>
      <c r="AL23" s="659"/>
      <c r="AM23" s="660"/>
      <c r="AN23" s="655"/>
      <c r="AO23" s="655"/>
      <c r="AP23" s="655"/>
      <c r="AQ23" s="655"/>
      <c r="AR23" s="655"/>
      <c r="AS23" s="655"/>
      <c r="AT23" s="655"/>
      <c r="AU23" s="517"/>
      <c r="AV23" s="517"/>
      <c r="AW23" s="517"/>
      <c r="AX23" s="517"/>
      <c r="AY23" s="517"/>
      <c r="AZ23" s="517"/>
      <c r="BA23" s="517"/>
      <c r="BB23" s="517"/>
    </row>
    <row r="24" spans="1:57" ht="25.5" customHeight="1">
      <c r="C24" s="655"/>
      <c r="D24" s="655"/>
      <c r="E24" s="655"/>
      <c r="F24" s="656"/>
      <c r="G24" s="655"/>
      <c r="H24" s="654"/>
      <c r="I24" s="655"/>
      <c r="J24" s="655"/>
      <c r="K24" s="655"/>
      <c r="L24" s="655"/>
      <c r="M24" s="654"/>
      <c r="N24" s="655"/>
      <c r="O24" s="654"/>
      <c r="P24" s="657"/>
      <c r="Q24" s="655"/>
      <c r="R24" s="658"/>
      <c r="S24" s="655"/>
      <c r="T24" s="655"/>
      <c r="U24" s="655"/>
      <c r="V24" s="655"/>
      <c r="W24" s="655"/>
      <c r="X24" s="655"/>
      <c r="Y24" s="655"/>
      <c r="Z24" s="655"/>
      <c r="AA24" s="655"/>
      <c r="AB24" s="654"/>
      <c r="AC24" s="655"/>
      <c r="AD24" s="655"/>
      <c r="AE24" s="655"/>
      <c r="AF24" s="660"/>
      <c r="AG24" s="654"/>
      <c r="AH24" s="655"/>
      <c r="AI24" s="655"/>
      <c r="AJ24" s="655"/>
      <c r="AK24" s="654"/>
      <c r="AL24" s="659"/>
      <c r="AM24" s="660"/>
      <c r="AN24" s="655"/>
      <c r="AO24" s="655"/>
      <c r="AP24" s="655"/>
      <c r="AQ24" s="655"/>
      <c r="AR24" s="655"/>
      <c r="AS24" s="655"/>
      <c r="AT24" s="655"/>
      <c r="AU24" s="517"/>
      <c r="AV24" s="517"/>
      <c r="AW24" s="517"/>
      <c r="AX24" s="517"/>
      <c r="AY24" s="517"/>
      <c r="AZ24" s="517"/>
      <c r="BA24" s="517"/>
      <c r="BB24" s="517"/>
    </row>
    <row r="25" spans="1:57" ht="12.75" customHeight="1">
      <c r="C25" s="655"/>
      <c r="D25" s="655"/>
      <c r="E25" s="655"/>
      <c r="F25" s="656"/>
      <c r="G25" s="655"/>
      <c r="H25" s="654"/>
      <c r="I25" s="655"/>
      <c r="J25" s="655"/>
      <c r="K25" s="655"/>
      <c r="L25" s="655"/>
      <c r="M25" s="654"/>
      <c r="N25" s="655"/>
      <c r="O25" s="654"/>
      <c r="P25" s="657"/>
      <c r="Q25" s="655"/>
      <c r="R25" s="658"/>
      <c r="S25" s="655"/>
      <c r="T25" s="655"/>
      <c r="U25" s="655"/>
      <c r="V25" s="655"/>
      <c r="W25" s="655"/>
      <c r="X25" s="655"/>
      <c r="Y25" s="655"/>
      <c r="Z25" s="655"/>
      <c r="AA25" s="655"/>
      <c r="AB25" s="654"/>
      <c r="AC25" s="655"/>
      <c r="AD25" s="655"/>
      <c r="AE25" s="655"/>
      <c r="AF25" s="660"/>
      <c r="AG25" s="654"/>
      <c r="AH25" s="655"/>
      <c r="AI25" s="655"/>
      <c r="AJ25" s="655"/>
      <c r="AK25" s="654"/>
      <c r="AL25" s="659"/>
      <c r="AM25" s="660"/>
      <c r="AN25" s="655"/>
      <c r="AO25" s="655"/>
      <c r="AP25" s="655"/>
      <c r="AQ25" s="655"/>
      <c r="AR25" s="655"/>
      <c r="AS25" s="655"/>
      <c r="AT25" s="655"/>
      <c r="AU25" s="517"/>
      <c r="AV25" s="517"/>
      <c r="AW25" s="517"/>
      <c r="AX25" s="517"/>
      <c r="AY25" s="517"/>
      <c r="AZ25" s="517"/>
      <c r="BA25" s="517"/>
      <c r="BB25" s="517"/>
    </row>
    <row r="26" spans="1:57" ht="12.75" customHeight="1">
      <c r="C26" s="655"/>
      <c r="D26" s="655"/>
      <c r="E26" s="655"/>
      <c r="F26" s="656"/>
      <c r="G26" s="655"/>
      <c r="H26" s="654"/>
      <c r="I26" s="655"/>
      <c r="J26" s="655"/>
      <c r="K26" s="655"/>
      <c r="L26" s="655"/>
      <c r="M26" s="654"/>
      <c r="N26" s="655"/>
      <c r="O26" s="654"/>
      <c r="P26" s="657"/>
      <c r="Q26" s="655"/>
      <c r="R26" s="658"/>
      <c r="S26" s="655"/>
      <c r="T26" s="655"/>
      <c r="U26" s="655"/>
      <c r="V26" s="655"/>
      <c r="W26" s="655"/>
      <c r="X26" s="655"/>
      <c r="Y26" s="655"/>
      <c r="Z26" s="655"/>
      <c r="AA26" s="655"/>
      <c r="AB26" s="654"/>
      <c r="AC26" s="655"/>
      <c r="AD26" s="655"/>
      <c r="AE26" s="655"/>
      <c r="AF26" s="660"/>
      <c r="AG26" s="654"/>
      <c r="AH26" s="655"/>
      <c r="AI26" s="655"/>
      <c r="AJ26" s="655"/>
      <c r="AK26" s="654"/>
      <c r="AL26" s="659"/>
      <c r="AM26" s="660"/>
      <c r="AN26" s="655"/>
      <c r="AO26" s="655"/>
      <c r="AP26" s="655"/>
      <c r="AQ26" s="655"/>
      <c r="AR26" s="655"/>
      <c r="AS26" s="655"/>
      <c r="AT26" s="655"/>
      <c r="AU26" s="517"/>
      <c r="AV26" s="517"/>
      <c r="AW26" s="517"/>
      <c r="AX26" s="517"/>
      <c r="AY26" s="517"/>
      <c r="AZ26" s="517"/>
      <c r="BA26" s="517"/>
      <c r="BB26" s="517"/>
    </row>
    <row r="27" spans="1:57">
      <c r="C27" s="518"/>
    </row>
    <row r="28" spans="1:57">
      <c r="G28" s="499"/>
    </row>
  </sheetData>
  <mergeCells count="44">
    <mergeCell ref="AF19:AF26"/>
    <mergeCell ref="AG19:AG26"/>
    <mergeCell ref="AH19:AH26"/>
    <mergeCell ref="AI19:AI26"/>
    <mergeCell ref="G19:G26"/>
    <mergeCell ref="Z19:Z26"/>
    <mergeCell ref="AA19:AA26"/>
    <mergeCell ref="AB19:AB26"/>
    <mergeCell ref="AC19:AC26"/>
    <mergeCell ref="AD19:AD26"/>
    <mergeCell ref="AE19:AE26"/>
    <mergeCell ref="T19:T26"/>
    <mergeCell ref="U19:U26"/>
    <mergeCell ref="V19:V26"/>
    <mergeCell ref="W19:W26"/>
    <mergeCell ref="X19:X26"/>
    <mergeCell ref="AT19:AT26"/>
    <mergeCell ref="AJ19:AJ26"/>
    <mergeCell ref="AK19:AK26"/>
    <mergeCell ref="AL19:AL26"/>
    <mergeCell ref="AM19:AM26"/>
    <mergeCell ref="AQ19:AQ26"/>
    <mergeCell ref="AR19:AR26"/>
    <mergeCell ref="AS19:AS26"/>
    <mergeCell ref="AN19:AN26"/>
    <mergeCell ref="AO19:AO26"/>
    <mergeCell ref="AP19:AP26"/>
    <mergeCell ref="Y19:Y26"/>
    <mergeCell ref="N19:N26"/>
    <mergeCell ref="O19:O26"/>
    <mergeCell ref="P19:P26"/>
    <mergeCell ref="Q19:Q26"/>
    <mergeCell ref="R19:R26"/>
    <mergeCell ref="S19:S26"/>
    <mergeCell ref="M19:M26"/>
    <mergeCell ref="C19:C26"/>
    <mergeCell ref="D19:D26"/>
    <mergeCell ref="E19:E26"/>
    <mergeCell ref="H19:H26"/>
    <mergeCell ref="I19:I26"/>
    <mergeCell ref="J19:J26"/>
    <mergeCell ref="K19:K26"/>
    <mergeCell ref="L19:L26"/>
    <mergeCell ref="F19:F26"/>
  </mergeCells>
  <phoneticPr fontId="31" type="noConversion"/>
  <printOptions gridLines="1"/>
  <pageMargins left="0.21" right="0.2" top="1" bottom="1" header="0.5" footer="0.5"/>
  <pageSetup scale="35" orientation="landscape" horizontalDpi="4294967294" verticalDpi="300" r:id="rId1"/>
  <headerFooter alignWithMargins="0"/>
  <drawing r:id="rId2"/>
</worksheet>
</file>

<file path=xl/worksheets/sheet9.xml><?xml version="1.0" encoding="utf-8"?>
<worksheet xmlns="http://schemas.openxmlformats.org/spreadsheetml/2006/main" xmlns:r="http://schemas.openxmlformats.org/officeDocument/2006/relationships">
  <sheetPr>
    <pageSetUpPr fitToPage="1"/>
  </sheetPr>
  <dimension ref="A1:O69"/>
  <sheetViews>
    <sheetView zoomScale="70" zoomScaleNormal="70" workbookViewId="0">
      <selection activeCell="F5" sqref="F5"/>
    </sheetView>
  </sheetViews>
  <sheetFormatPr defaultColWidth="8.81640625" defaultRowHeight="12.5"/>
  <cols>
    <col min="2" max="2" width="55.54296875" customWidth="1"/>
    <col min="3" max="3" width="9.81640625" customWidth="1"/>
    <col min="4" max="4" width="10" customWidth="1"/>
    <col min="5" max="5" width="11.453125" customWidth="1"/>
    <col min="6" max="6" width="14" customWidth="1"/>
    <col min="7" max="7" width="14.1796875" customWidth="1"/>
    <col min="8" max="8" width="12.81640625" customWidth="1"/>
    <col min="9" max="9" width="12.453125" customWidth="1"/>
    <col min="10" max="10" width="11" customWidth="1"/>
    <col min="15" max="15" width="34.453125" customWidth="1"/>
  </cols>
  <sheetData>
    <row r="1" spans="1:15" ht="33" customHeight="1">
      <c r="B1" s="185" t="s">
        <v>226</v>
      </c>
      <c r="C1" s="7"/>
      <c r="D1" s="6"/>
      <c r="E1" s="8"/>
      <c r="F1" s="196"/>
      <c r="G1" s="30"/>
      <c r="H1" s="482" t="s">
        <v>301</v>
      </c>
      <c r="I1" s="6"/>
    </row>
    <row r="2" spans="1:15" s="49" customFormat="1" ht="30" customHeight="1">
      <c r="B2" s="30"/>
      <c r="C2" s="30"/>
      <c r="D2" s="30"/>
      <c r="E2" s="113" t="s">
        <v>15</v>
      </c>
      <c r="F2" s="114">
        <f>MIN(E5:E18)</f>
        <v>0</v>
      </c>
      <c r="G2" s="30" t="s">
        <v>16</v>
      </c>
      <c r="H2" s="30"/>
      <c r="I2" s="30"/>
      <c r="J2" s="114">
        <f>MAX(J5:J17)</f>
        <v>0</v>
      </c>
    </row>
    <row r="3" spans="1:15" ht="30.75" customHeight="1" thickBot="1">
      <c r="B3" s="123"/>
      <c r="C3" s="230"/>
      <c r="D3" s="10"/>
      <c r="E3" s="115" t="s">
        <v>70</v>
      </c>
      <c r="F3" s="114">
        <f>MAX(E5:E18)</f>
        <v>0</v>
      </c>
      <c r="G3" s="132" t="s">
        <v>16</v>
      </c>
      <c r="H3" s="132" t="s">
        <v>174</v>
      </c>
      <c r="J3" s="114">
        <f>MIN(J5:J17)</f>
        <v>0</v>
      </c>
    </row>
    <row r="4" spans="1:15" s="303" customFormat="1" ht="61.5" customHeight="1">
      <c r="B4" s="325"/>
      <c r="C4" s="326" t="s">
        <v>28</v>
      </c>
      <c r="D4" s="326" t="s">
        <v>29</v>
      </c>
      <c r="E4" s="326" t="s">
        <v>35</v>
      </c>
      <c r="F4" s="327" t="s">
        <v>9</v>
      </c>
      <c r="G4" s="328" t="s">
        <v>26</v>
      </c>
      <c r="H4" s="329" t="s">
        <v>159</v>
      </c>
      <c r="I4" s="329" t="s">
        <v>160</v>
      </c>
      <c r="J4" s="330" t="s">
        <v>161</v>
      </c>
      <c r="K4" s="328" t="s">
        <v>26</v>
      </c>
      <c r="O4" s="483" t="s">
        <v>302</v>
      </c>
    </row>
    <row r="5" spans="1:15" s="303" customFormat="1" ht="16" thickBot="1">
      <c r="A5" s="351">
        <v>11</v>
      </c>
      <c r="B5" s="351" t="s">
        <v>168</v>
      </c>
      <c r="C5" s="331"/>
      <c r="D5" s="331"/>
      <c r="E5" s="332">
        <f>MIN(C5:D5)</f>
        <v>0</v>
      </c>
      <c r="F5" s="333">
        <v>0</v>
      </c>
      <c r="G5" s="334">
        <f>RANK(F5,$F$5:$F$18)</f>
        <v>1</v>
      </c>
      <c r="H5" s="332"/>
      <c r="I5" s="332"/>
      <c r="J5" s="335">
        <f>MAX(H5:I5)</f>
        <v>0</v>
      </c>
      <c r="K5" s="334">
        <f>RANK(J5,$J$5:$J$17)</f>
        <v>1</v>
      </c>
      <c r="O5" s="484" t="e">
        <f>IF(E5&gt;=10,2.5,(-$E$21*E5+$E$22))</f>
        <v>#DIV/0!</v>
      </c>
    </row>
    <row r="6" spans="1:15" s="303" customFormat="1" ht="15.5">
      <c r="A6" s="351">
        <v>12</v>
      </c>
      <c r="B6" s="351" t="s">
        <v>171</v>
      </c>
      <c r="C6" s="331"/>
      <c r="D6" s="331"/>
      <c r="E6" s="332">
        <f t="shared" ref="E6:E18" si="0">MIN(C6:D6)</f>
        <v>0</v>
      </c>
      <c r="F6" s="333">
        <v>0</v>
      </c>
      <c r="G6" s="334">
        <f t="shared" ref="G6:G18" si="1">RANK(F6,$F$5:$F$18)</f>
        <v>1</v>
      </c>
      <c r="H6" s="332"/>
      <c r="I6" s="332"/>
      <c r="J6" s="335">
        <f>MAX(H6:I6)</f>
        <v>0</v>
      </c>
      <c r="K6" s="334">
        <f>RANK(J6,$J$5:$J$17)</f>
        <v>1</v>
      </c>
    </row>
    <row r="7" spans="1:15" s="303" customFormat="1" ht="15.5">
      <c r="A7" s="351">
        <v>13</v>
      </c>
      <c r="B7" s="351" t="s">
        <v>173</v>
      </c>
      <c r="C7" s="331"/>
      <c r="D7" s="331"/>
      <c r="E7" s="332">
        <f t="shared" si="0"/>
        <v>0</v>
      </c>
      <c r="F7" s="333">
        <v>0</v>
      </c>
      <c r="G7" s="334">
        <f t="shared" si="1"/>
        <v>1</v>
      </c>
      <c r="H7" s="332"/>
      <c r="I7" s="332"/>
      <c r="J7" s="335">
        <f>MAX(H7:I7)</f>
        <v>0</v>
      </c>
      <c r="K7" s="334">
        <f>RANK(J7,$J$5:$J$17)</f>
        <v>1</v>
      </c>
    </row>
    <row r="8" spans="1:15" s="304" customFormat="1" ht="15.5">
      <c r="A8" s="351">
        <v>14</v>
      </c>
      <c r="B8" s="351" t="s">
        <v>198</v>
      </c>
      <c r="C8" s="331"/>
      <c r="D8" s="331"/>
      <c r="E8" s="332">
        <f t="shared" si="0"/>
        <v>0</v>
      </c>
      <c r="F8" s="333">
        <v>0</v>
      </c>
      <c r="G8" s="334">
        <f t="shared" si="1"/>
        <v>1</v>
      </c>
      <c r="H8" s="332"/>
      <c r="I8" s="332"/>
      <c r="J8" s="335">
        <f>MAX(H8:I8)</f>
        <v>0</v>
      </c>
      <c r="K8" s="334">
        <f>RANK(J8,$J$5:$J$17)</f>
        <v>1</v>
      </c>
    </row>
    <row r="9" spans="1:15" s="303" customFormat="1" ht="15.5">
      <c r="A9" s="351">
        <v>15</v>
      </c>
      <c r="B9" s="351" t="s">
        <v>164</v>
      </c>
      <c r="C9" s="331"/>
      <c r="D9" s="331"/>
      <c r="E9" s="332">
        <f t="shared" si="0"/>
        <v>0</v>
      </c>
      <c r="F9" s="333">
        <v>0</v>
      </c>
      <c r="G9" s="334">
        <f t="shared" si="1"/>
        <v>1</v>
      </c>
      <c r="H9" s="332"/>
      <c r="I9" s="332"/>
      <c r="J9" s="335">
        <f>MAX(H9:I9)</f>
        <v>0</v>
      </c>
      <c r="K9" s="334">
        <f>RANK(J9,$J$5:$J$17)</f>
        <v>1</v>
      </c>
    </row>
    <row r="10" spans="1:15" s="303" customFormat="1" ht="15.5">
      <c r="A10" s="351">
        <v>16</v>
      </c>
      <c r="B10" s="351" t="s">
        <v>208</v>
      </c>
      <c r="C10" s="331"/>
      <c r="D10" s="331"/>
      <c r="E10" s="332">
        <f t="shared" si="0"/>
        <v>0</v>
      </c>
      <c r="F10" s="333">
        <v>0</v>
      </c>
      <c r="G10" s="334">
        <f t="shared" si="1"/>
        <v>1</v>
      </c>
      <c r="H10" s="332"/>
      <c r="I10" s="332"/>
      <c r="J10" s="335">
        <f t="shared" ref="J10:J12" si="2">MAX(H10:I10)</f>
        <v>0</v>
      </c>
      <c r="K10" s="334">
        <f t="shared" ref="K10:K12" si="3">RANK(J10,$J$5:$J$17)</f>
        <v>1</v>
      </c>
    </row>
    <row r="11" spans="1:15" s="303" customFormat="1" ht="15.5">
      <c r="A11" s="351">
        <v>17</v>
      </c>
      <c r="B11" s="351" t="s">
        <v>167</v>
      </c>
      <c r="C11" s="331"/>
      <c r="D11" s="331"/>
      <c r="E11" s="332">
        <f t="shared" si="0"/>
        <v>0</v>
      </c>
      <c r="F11" s="333">
        <v>0</v>
      </c>
      <c r="G11" s="334">
        <f t="shared" si="1"/>
        <v>1</v>
      </c>
      <c r="H11" s="332"/>
      <c r="I11" s="332"/>
      <c r="J11" s="335">
        <f t="shared" si="2"/>
        <v>0</v>
      </c>
      <c r="K11" s="334">
        <f t="shared" si="3"/>
        <v>1</v>
      </c>
    </row>
    <row r="12" spans="1:15" s="303" customFormat="1" ht="15.5">
      <c r="A12" s="351">
        <v>18</v>
      </c>
      <c r="B12" s="351" t="s">
        <v>209</v>
      </c>
      <c r="C12" s="331"/>
      <c r="D12" s="331"/>
      <c r="E12" s="332">
        <f t="shared" si="0"/>
        <v>0</v>
      </c>
      <c r="F12" s="333">
        <v>0</v>
      </c>
      <c r="G12" s="334">
        <f t="shared" si="1"/>
        <v>1</v>
      </c>
      <c r="H12" s="332"/>
      <c r="I12" s="332"/>
      <c r="J12" s="335">
        <f t="shared" si="2"/>
        <v>0</v>
      </c>
      <c r="K12" s="334">
        <f t="shared" si="3"/>
        <v>1</v>
      </c>
    </row>
    <row r="13" spans="1:15" s="303" customFormat="1" ht="15.5">
      <c r="A13" s="351">
        <v>19</v>
      </c>
      <c r="B13" s="351" t="s">
        <v>170</v>
      </c>
      <c r="C13" s="331"/>
      <c r="D13" s="331"/>
      <c r="E13" s="332">
        <f t="shared" si="0"/>
        <v>0</v>
      </c>
      <c r="F13" s="333">
        <v>0</v>
      </c>
      <c r="G13" s="334">
        <f t="shared" si="1"/>
        <v>1</v>
      </c>
      <c r="H13" s="332"/>
      <c r="I13" s="332"/>
      <c r="J13" s="335">
        <f t="shared" ref="J13:J18" si="4">MAX(H13:I13)</f>
        <v>0</v>
      </c>
      <c r="K13" s="334">
        <f t="shared" ref="K13:K18" si="5">RANK(J13,$J$5:$J$17)</f>
        <v>1</v>
      </c>
    </row>
    <row r="14" spans="1:15" s="336" customFormat="1" ht="15.5">
      <c r="A14" s="351">
        <v>20</v>
      </c>
      <c r="B14" s="351" t="s">
        <v>166</v>
      </c>
      <c r="C14" s="331"/>
      <c r="D14" s="331"/>
      <c r="E14" s="332">
        <f t="shared" si="0"/>
        <v>0</v>
      </c>
      <c r="F14" s="333">
        <v>0</v>
      </c>
      <c r="G14" s="334">
        <f t="shared" si="1"/>
        <v>1</v>
      </c>
      <c r="H14" s="332"/>
      <c r="I14" s="332"/>
      <c r="J14" s="335">
        <f t="shared" si="4"/>
        <v>0</v>
      </c>
      <c r="K14" s="334">
        <f t="shared" si="5"/>
        <v>1</v>
      </c>
    </row>
    <row r="15" spans="1:15" s="336" customFormat="1" ht="15.5">
      <c r="A15" s="351">
        <v>21</v>
      </c>
      <c r="B15" s="351" t="s">
        <v>165</v>
      </c>
      <c r="C15" s="331"/>
      <c r="D15" s="331"/>
      <c r="E15" s="332">
        <f t="shared" si="0"/>
        <v>0</v>
      </c>
      <c r="F15" s="333">
        <v>0</v>
      </c>
      <c r="G15" s="334">
        <f t="shared" si="1"/>
        <v>1</v>
      </c>
      <c r="H15" s="332"/>
      <c r="I15" s="332"/>
      <c r="J15" s="335">
        <f t="shared" si="4"/>
        <v>0</v>
      </c>
      <c r="K15" s="334">
        <f t="shared" si="5"/>
        <v>1</v>
      </c>
    </row>
    <row r="16" spans="1:15" s="336" customFormat="1" ht="15.5">
      <c r="A16" s="351">
        <v>22</v>
      </c>
      <c r="B16" s="351" t="s">
        <v>172</v>
      </c>
      <c r="C16" s="331"/>
      <c r="D16" s="331"/>
      <c r="E16" s="332">
        <f t="shared" si="0"/>
        <v>0</v>
      </c>
      <c r="F16" s="333">
        <v>0</v>
      </c>
      <c r="G16" s="334">
        <f t="shared" si="1"/>
        <v>1</v>
      </c>
      <c r="H16" s="332"/>
      <c r="I16" s="332"/>
      <c r="J16" s="335">
        <f t="shared" si="4"/>
        <v>0</v>
      </c>
      <c r="K16" s="334">
        <f t="shared" si="5"/>
        <v>1</v>
      </c>
    </row>
    <row r="17" spans="1:11" s="303" customFormat="1" ht="15.5">
      <c r="A17" s="351">
        <v>23</v>
      </c>
      <c r="B17" s="351" t="s">
        <v>210</v>
      </c>
      <c r="C17" s="331"/>
      <c r="D17" s="331"/>
      <c r="E17" s="332">
        <f t="shared" si="0"/>
        <v>0</v>
      </c>
      <c r="F17" s="333">
        <v>0</v>
      </c>
      <c r="G17" s="334">
        <f t="shared" si="1"/>
        <v>1</v>
      </c>
      <c r="H17" s="332"/>
      <c r="I17" s="332"/>
      <c r="J17" s="335">
        <f t="shared" si="4"/>
        <v>0</v>
      </c>
      <c r="K17" s="334">
        <f t="shared" si="5"/>
        <v>1</v>
      </c>
    </row>
    <row r="18" spans="1:11" s="303" customFormat="1" ht="15.5">
      <c r="A18" s="351">
        <v>26</v>
      </c>
      <c r="B18" s="351" t="s">
        <v>169</v>
      </c>
      <c r="C18" s="331"/>
      <c r="D18" s="331"/>
      <c r="E18" s="332">
        <f t="shared" si="0"/>
        <v>0</v>
      </c>
      <c r="F18" s="333">
        <v>0</v>
      </c>
      <c r="G18" s="334">
        <f t="shared" si="1"/>
        <v>1</v>
      </c>
      <c r="H18" s="332"/>
      <c r="I18" s="332"/>
      <c r="J18" s="335">
        <f t="shared" si="4"/>
        <v>0</v>
      </c>
      <c r="K18" s="334">
        <f t="shared" si="5"/>
        <v>1</v>
      </c>
    </row>
    <row r="19" spans="1:11" s="303" customFormat="1" ht="15.5">
      <c r="B19" s="339"/>
      <c r="C19" s="337"/>
      <c r="D19" s="340"/>
      <c r="E19" s="337"/>
      <c r="F19" s="338"/>
      <c r="G19" s="338"/>
      <c r="H19" s="338"/>
      <c r="I19" s="302"/>
    </row>
    <row r="20" spans="1:11" s="303" customFormat="1" ht="15.5">
      <c r="B20" s="339"/>
      <c r="C20" s="337"/>
      <c r="D20" s="337" t="s">
        <v>113</v>
      </c>
      <c r="E20" s="337"/>
      <c r="F20" s="338"/>
      <c r="G20" s="338"/>
      <c r="H20" s="338"/>
      <c r="I20" s="302"/>
    </row>
    <row r="21" spans="1:11" s="303" customFormat="1" ht="15.5">
      <c r="B21" s="339"/>
      <c r="C21" s="337"/>
      <c r="D21" s="341" t="s">
        <v>110</v>
      </c>
      <c r="E21" s="342" t="e">
        <f>50/(F3-F2)</f>
        <v>#DIV/0!</v>
      </c>
      <c r="F21" s="338"/>
      <c r="G21" s="338"/>
      <c r="H21" s="338"/>
      <c r="I21" s="302"/>
    </row>
    <row r="22" spans="1:11" s="303" customFormat="1" ht="15.5">
      <c r="B22" s="339"/>
      <c r="C22" s="337"/>
      <c r="D22" s="341" t="s">
        <v>111</v>
      </c>
      <c r="E22" s="343" t="e">
        <f>E21*F3</f>
        <v>#DIV/0!</v>
      </c>
      <c r="F22" s="338"/>
      <c r="G22" s="338"/>
      <c r="H22" s="338"/>
      <c r="I22" s="302"/>
    </row>
    <row r="23" spans="1:11" s="303" customFormat="1" ht="15.5">
      <c r="B23" s="339"/>
      <c r="D23" s="341" t="s">
        <v>152</v>
      </c>
      <c r="E23" s="337"/>
      <c r="F23" s="338"/>
      <c r="G23" s="338"/>
      <c r="H23" s="338"/>
      <c r="I23" s="302"/>
    </row>
    <row r="24" spans="1:11" s="303" customFormat="1" ht="15.5">
      <c r="B24" s="339"/>
      <c r="C24" s="337"/>
      <c r="D24" s="337"/>
      <c r="E24" s="337"/>
      <c r="F24" s="338"/>
      <c r="G24" s="338"/>
      <c r="H24" s="338"/>
      <c r="I24" s="302"/>
    </row>
    <row r="25" spans="1:11">
      <c r="B25" s="21"/>
      <c r="C25" s="43"/>
      <c r="D25" s="43"/>
      <c r="E25" s="43"/>
      <c r="F25" s="16"/>
      <c r="G25" s="16"/>
      <c r="H25" s="16"/>
      <c r="I25" s="3"/>
    </row>
    <row r="26" spans="1:11">
      <c r="B26" s="21"/>
      <c r="C26" s="43"/>
      <c r="D26" s="43"/>
      <c r="E26" s="43"/>
      <c r="F26" s="16"/>
      <c r="G26" s="16"/>
      <c r="H26" s="16"/>
      <c r="I26" s="3"/>
    </row>
    <row r="27" spans="1:11">
      <c r="B27" s="21"/>
      <c r="C27" s="43"/>
      <c r="D27" s="43"/>
      <c r="E27" s="43"/>
      <c r="F27" s="16"/>
      <c r="G27" s="16"/>
      <c r="H27" s="16"/>
      <c r="I27" s="3"/>
    </row>
    <row r="28" spans="1:11" s="239" customFormat="1" ht="17.5">
      <c r="B28" s="268" t="s">
        <v>203</v>
      </c>
      <c r="C28" s="269"/>
      <c r="D28" s="269"/>
      <c r="E28" s="269"/>
      <c r="F28" s="270"/>
      <c r="G28" s="270"/>
      <c r="H28" s="270"/>
      <c r="I28" s="271"/>
    </row>
    <row r="29" spans="1:11">
      <c r="B29" s="21"/>
      <c r="C29" s="43"/>
      <c r="D29" s="43"/>
      <c r="E29" s="43"/>
      <c r="F29" s="16"/>
      <c r="G29" s="16"/>
      <c r="H29" s="16"/>
      <c r="I29" s="6"/>
    </row>
    <row r="30" spans="1:11">
      <c r="B30" s="10"/>
      <c r="C30" s="43"/>
      <c r="D30" s="43"/>
      <c r="E30" s="43"/>
      <c r="F30" s="16"/>
      <c r="G30" s="16"/>
      <c r="H30" s="16"/>
      <c r="I30" s="6"/>
    </row>
    <row r="31" spans="1:11">
      <c r="B31" s="10"/>
      <c r="C31" s="43"/>
      <c r="D31" s="43"/>
      <c r="E31" s="43"/>
      <c r="F31" s="16"/>
      <c r="G31" s="16"/>
      <c r="H31" s="16"/>
      <c r="I31" s="6"/>
    </row>
    <row r="32" spans="1:11">
      <c r="B32" s="10"/>
      <c r="C32" s="43"/>
      <c r="D32" s="43"/>
      <c r="E32" s="43"/>
      <c r="F32" s="16"/>
      <c r="G32" s="16"/>
      <c r="H32" s="16"/>
      <c r="I32" s="6"/>
    </row>
    <row r="33" spans="2:9">
      <c r="B33" s="39"/>
      <c r="C33" s="10"/>
      <c r="D33" s="10"/>
      <c r="E33" s="10"/>
      <c r="F33" s="6"/>
      <c r="G33" s="6"/>
      <c r="H33" s="6"/>
      <c r="I33" s="6"/>
    </row>
    <row r="34" spans="2:9">
      <c r="C34" s="4"/>
      <c r="D34" s="4"/>
      <c r="E34" s="4"/>
    </row>
    <row r="35" spans="2:9">
      <c r="C35" s="4"/>
      <c r="D35" s="4"/>
      <c r="E35" s="4"/>
    </row>
    <row r="36" spans="2:9">
      <c r="C36" s="4"/>
      <c r="D36" s="4"/>
      <c r="E36" s="4"/>
    </row>
    <row r="37" spans="2:9">
      <c r="C37" s="4"/>
      <c r="D37" s="4"/>
      <c r="E37" s="4"/>
    </row>
    <row r="38" spans="2:9">
      <c r="C38" s="4"/>
      <c r="D38" s="4"/>
      <c r="E38" s="4"/>
    </row>
    <row r="39" spans="2:9">
      <c r="C39" s="4"/>
      <c r="D39" s="4"/>
      <c r="E39" s="4"/>
    </row>
    <row r="40" spans="2:9">
      <c r="C40" s="4"/>
      <c r="D40" s="4"/>
      <c r="E40" s="4"/>
    </row>
    <row r="41" spans="2:9">
      <c r="C41" s="4"/>
      <c r="D41" s="4"/>
      <c r="E41" s="4"/>
    </row>
    <row r="42" spans="2:9">
      <c r="C42" s="4"/>
      <c r="D42" s="4"/>
      <c r="E42" s="4"/>
    </row>
    <row r="43" spans="2:9">
      <c r="C43" s="4"/>
      <c r="D43" s="4"/>
      <c r="E43" s="4"/>
    </row>
    <row r="44" spans="2:9">
      <c r="C44" s="4"/>
      <c r="D44" s="4"/>
      <c r="E44" s="4"/>
    </row>
    <row r="45" spans="2:9">
      <c r="C45" s="4"/>
      <c r="D45" s="4"/>
      <c r="E45" s="4"/>
    </row>
    <row r="46" spans="2:9">
      <c r="C46" s="4"/>
      <c r="D46" s="4"/>
      <c r="E46" s="4"/>
    </row>
    <row r="47" spans="2:9">
      <c r="C47" s="4"/>
      <c r="D47" s="4"/>
      <c r="E47" s="4"/>
    </row>
    <row r="48" spans="2:9">
      <c r="C48" s="4"/>
      <c r="D48" s="4"/>
      <c r="E48" s="4"/>
    </row>
    <row r="49" spans="3:5">
      <c r="C49" s="4"/>
      <c r="D49" s="4"/>
      <c r="E49" s="4"/>
    </row>
    <row r="50" spans="3:5">
      <c r="C50" s="4"/>
      <c r="D50" s="4"/>
      <c r="E50" s="4"/>
    </row>
    <row r="51" spans="3:5">
      <c r="C51" s="4"/>
      <c r="D51" s="4"/>
      <c r="E51" s="4"/>
    </row>
    <row r="52" spans="3:5">
      <c r="C52" s="4"/>
      <c r="D52" s="4"/>
      <c r="E52" s="4"/>
    </row>
    <row r="53" spans="3:5">
      <c r="C53" s="4"/>
      <c r="D53" s="4"/>
      <c r="E53" s="4"/>
    </row>
    <row r="54" spans="3:5">
      <c r="C54" s="4"/>
      <c r="D54" s="4"/>
      <c r="E54" s="4"/>
    </row>
    <row r="55" spans="3:5">
      <c r="C55" s="4"/>
      <c r="D55" s="4"/>
      <c r="E55" s="4"/>
    </row>
    <row r="56" spans="3:5">
      <c r="C56" s="4"/>
      <c r="D56" s="4"/>
      <c r="E56" s="4"/>
    </row>
    <row r="57" spans="3:5">
      <c r="C57" s="4"/>
      <c r="D57" s="4"/>
      <c r="E57" s="4"/>
    </row>
    <row r="58" spans="3:5">
      <c r="C58" s="4"/>
      <c r="D58" s="4"/>
      <c r="E58" s="4"/>
    </row>
    <row r="59" spans="3:5">
      <c r="C59" s="4"/>
      <c r="D59" s="4"/>
      <c r="E59" s="4"/>
    </row>
    <row r="60" spans="3:5">
      <c r="C60" s="4"/>
      <c r="D60" s="4"/>
      <c r="E60" s="4"/>
    </row>
    <row r="61" spans="3:5">
      <c r="C61" s="4"/>
      <c r="D61" s="4"/>
      <c r="E61" s="4"/>
    </row>
    <row r="62" spans="3:5">
      <c r="C62" s="4"/>
      <c r="D62" s="4"/>
      <c r="E62" s="4"/>
    </row>
    <row r="63" spans="3:5">
      <c r="C63" s="4"/>
      <c r="D63" s="4"/>
      <c r="E63" s="4"/>
    </row>
    <row r="64" spans="3:5">
      <c r="C64" s="4"/>
      <c r="D64" s="4"/>
      <c r="E64" s="4"/>
    </row>
    <row r="65" spans="3:5">
      <c r="C65" s="4"/>
      <c r="D65" s="4"/>
      <c r="E65" s="4"/>
    </row>
    <row r="66" spans="3:5">
      <c r="C66" s="4"/>
      <c r="D66" s="4"/>
      <c r="E66" s="4"/>
    </row>
    <row r="67" spans="3:5">
      <c r="C67" s="4"/>
      <c r="D67" s="4"/>
      <c r="E67" s="4"/>
    </row>
    <row r="68" spans="3:5">
      <c r="C68" s="4"/>
      <c r="D68" s="4"/>
      <c r="E68" s="4"/>
    </row>
    <row r="69" spans="3:5">
      <c r="C69" s="4"/>
      <c r="D69" s="4"/>
      <c r="E69" s="4"/>
    </row>
  </sheetData>
  <phoneticPr fontId="31" type="noConversion"/>
  <printOptions gridLines="1"/>
  <pageMargins left="0.75" right="0.75" top="0.5" bottom="0.5" header="0.5" footer="0.5"/>
  <pageSetup scale="83" orientation="landscape" horizontalDpi="4294967294"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5</vt:i4>
      </vt:variant>
    </vt:vector>
  </HeadingPairs>
  <TitlesOfParts>
    <vt:vector size="20" baseType="lpstr">
      <vt:lpstr>Totals and Awards</vt:lpstr>
      <vt:lpstr>Paper</vt:lpstr>
      <vt:lpstr>Static</vt:lpstr>
      <vt:lpstr>MSRP</vt:lpstr>
      <vt:lpstr>Subjective Handling </vt:lpstr>
      <vt:lpstr>Fuel Economy-Endurance  </vt:lpstr>
      <vt:lpstr>Noise</vt:lpstr>
      <vt:lpstr>Oral</vt:lpstr>
      <vt:lpstr>Acceleration</vt:lpstr>
      <vt:lpstr>Lab Emissions</vt:lpstr>
      <vt:lpstr>In Service Emissions</vt:lpstr>
      <vt:lpstr>Cold Start</vt:lpstr>
      <vt:lpstr>Objective Handling</vt:lpstr>
      <vt:lpstr>Penalties and Bonuses</vt:lpstr>
      <vt:lpstr>Vehicle Weights</vt:lpstr>
      <vt:lpstr>Acceleration!Print_Area</vt:lpstr>
      <vt:lpstr>'Fuel Economy-Endurance  '!Print_Area</vt:lpstr>
      <vt:lpstr>'Objective Handling'!Print_Area</vt:lpstr>
      <vt:lpstr>'Totals and Awards'!Print_Area</vt:lpstr>
      <vt:lpstr>'Vehicle Weights'!Print_Area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 Meldrum</dc:creator>
  <cp:lastModifiedBy>jmeldrum</cp:lastModifiedBy>
  <cp:lastPrinted>2019-03-09T23:33:51Z</cp:lastPrinted>
  <dcterms:created xsi:type="dcterms:W3CDTF">2000-03-12T02:15:03Z</dcterms:created>
  <dcterms:modified xsi:type="dcterms:W3CDTF">2020-03-17T00:29:04Z</dcterms:modified>
</cp:coreProperties>
</file>