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-12" windowWidth="17496" windowHeight="5832" tabRatio="775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externalReferences>
    <externalReference r:id="rId16"/>
  </externalReferences>
  <definedNames>
    <definedName name="Bmax">'Lab Emissions'!#REF!</definedName>
    <definedName name="Bmin">'Lab Emissions'!#REF!</definedName>
    <definedName name="Emax">'Lab Emissions'!#REF!</definedName>
    <definedName name="Emin">'Lab Emissions'!#REF!</definedName>
    <definedName name="_xlnm.Print_Area" localSheetId="8">Acceleration!$A$1:$I$17</definedName>
    <definedName name="_xlnm.Print_Area" localSheetId="5">'Fuel Economy-Endurance  '!$A$9:$I$22</definedName>
    <definedName name="_xlnm.Print_Area" localSheetId="12">'Objective Handling'!$A$1:$H$18</definedName>
    <definedName name="_xlnm.Print_Area" localSheetId="0">'Totals and Awards'!$B$1:$P$53</definedName>
    <definedName name="_xlnm.Print_Area" localSheetId="14">'Vehicle Weights'!$A$1:$I$16</definedName>
  </definedNames>
  <calcPr calcId="125725"/>
</workbook>
</file>

<file path=xl/calcChain.xml><?xml version="1.0" encoding="utf-8"?>
<calcChain xmlns="http://schemas.openxmlformats.org/spreadsheetml/2006/main">
  <c r="J7" i="19"/>
  <c r="J8"/>
  <c r="J9"/>
  <c r="J10"/>
  <c r="J11"/>
  <c r="J12"/>
  <c r="J13"/>
  <c r="J14"/>
  <c r="J15"/>
  <c r="J6"/>
  <c r="D7"/>
  <c r="D8"/>
  <c r="D9"/>
  <c r="D10"/>
  <c r="D11"/>
  <c r="D12"/>
  <c r="D13"/>
  <c r="D14"/>
  <c r="D15"/>
  <c r="D6"/>
  <c r="K7"/>
  <c r="K8"/>
  <c r="K9"/>
  <c r="K10"/>
  <c r="K11"/>
  <c r="K12"/>
  <c r="K13"/>
  <c r="K14"/>
  <c r="K15"/>
  <c r="K6"/>
  <c r="J2"/>
  <c r="J1"/>
  <c r="C7"/>
  <c r="C8"/>
  <c r="C9"/>
  <c r="C10"/>
  <c r="C11"/>
  <c r="C12"/>
  <c r="C13"/>
  <c r="C14"/>
  <c r="C15"/>
  <c r="C6"/>
  <c r="B21"/>
  <c r="B22" s="1"/>
  <c r="H7"/>
  <c r="H8"/>
  <c r="H9"/>
  <c r="H10"/>
  <c r="H11"/>
  <c r="H12"/>
  <c r="H13"/>
  <c r="H14"/>
  <c r="H15"/>
  <c r="H6"/>
  <c r="F2"/>
  <c r="F1"/>
  <c r="K16" i="7"/>
  <c r="K14"/>
  <c r="J14"/>
  <c r="K12" s="1"/>
  <c r="J10"/>
  <c r="J11"/>
  <c r="J12"/>
  <c r="J16"/>
  <c r="F16"/>
  <c r="F9"/>
  <c r="F10"/>
  <c r="F11"/>
  <c r="F12"/>
  <c r="F6"/>
  <c r="E10"/>
  <c r="E11"/>
  <c r="E12"/>
  <c r="E16"/>
  <c r="I7" i="11"/>
  <c r="I10"/>
  <c r="I11"/>
  <c r="I12"/>
  <c r="I14"/>
  <c r="I15"/>
  <c r="I17"/>
  <c r="D4" i="10"/>
  <c r="K5" i="13"/>
  <c r="K6"/>
  <c r="K7"/>
  <c r="K8"/>
  <c r="K9"/>
  <c r="K10"/>
  <c r="K11"/>
  <c r="K12"/>
  <c r="K13"/>
  <c r="K14"/>
  <c r="K15"/>
  <c r="K16"/>
  <c r="K4"/>
  <c r="G12" i="4"/>
  <c r="G13"/>
  <c r="G14"/>
  <c r="G15"/>
  <c r="G16"/>
  <c r="G17"/>
  <c r="G18"/>
  <c r="G19"/>
  <c r="G20"/>
  <c r="G21"/>
  <c r="G22"/>
  <c r="G10"/>
  <c r="F2"/>
  <c r="E11"/>
  <c r="E13"/>
  <c r="E14"/>
  <c r="E15"/>
  <c r="E17"/>
  <c r="E22"/>
  <c r="F3"/>
  <c r="C16" i="13"/>
  <c r="C15"/>
  <c r="C14"/>
  <c r="C13"/>
  <c r="C12"/>
  <c r="C11"/>
  <c r="C10"/>
  <c r="C9"/>
  <c r="C8"/>
  <c r="C7"/>
  <c r="C6"/>
  <c r="C5"/>
  <c r="C4"/>
  <c r="O18" i="1"/>
  <c r="N18"/>
  <c r="M18"/>
  <c r="L18"/>
  <c r="J16"/>
  <c r="I16"/>
  <c r="H16"/>
  <c r="G16"/>
  <c r="O13"/>
  <c r="K11" i="7" l="1"/>
  <c r="K10"/>
  <c r="S9" i="14"/>
  <c r="R5"/>
  <c r="R6"/>
  <c r="R7"/>
  <c r="R8"/>
  <c r="R9"/>
  <c r="R10"/>
  <c r="R11"/>
  <c r="R12"/>
  <c r="R13"/>
  <c r="R15"/>
  <c r="R16"/>
  <c r="C51" i="13" l="1"/>
  <c r="D7" i="6"/>
  <c r="D8"/>
  <c r="D12"/>
  <c r="J8" i="7"/>
  <c r="BC5" i="5"/>
  <c r="BC6"/>
  <c r="BC7"/>
  <c r="BC8"/>
  <c r="BC9"/>
  <c r="BC10"/>
  <c r="BC11"/>
  <c r="BC12"/>
  <c r="BC13"/>
  <c r="BC14"/>
  <c r="BC15"/>
  <c r="BC16"/>
  <c r="BC4"/>
  <c r="R4" i="14" l="1"/>
  <c r="A52" i="1" l="1"/>
  <c r="A53" s="1"/>
  <c r="A54" s="1"/>
  <c r="A55" s="1"/>
  <c r="A30"/>
  <c r="A3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57" l="1"/>
  <c r="H57"/>
  <c r="C57"/>
  <c r="P7"/>
  <c r="P9"/>
  <c r="P13"/>
  <c r="P14"/>
  <c r="P16"/>
  <c r="P17"/>
  <c r="P18"/>
  <c r="P19"/>
  <c r="P20"/>
  <c r="P21"/>
  <c r="P22"/>
  <c r="P23"/>
  <c r="P24"/>
  <c r="P25"/>
  <c r="P26"/>
  <c r="P27"/>
  <c r="P28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51"/>
  <c r="P52"/>
  <c r="P53"/>
  <c r="P54"/>
  <c r="P55"/>
  <c r="P50"/>
  <c r="P49"/>
  <c r="I57"/>
  <c r="P29"/>
  <c r="F57"/>
  <c r="P15"/>
  <c r="J57"/>
  <c r="P12"/>
  <c r="P11"/>
  <c r="L57"/>
  <c r="P8"/>
  <c r="P6"/>
  <c r="N57"/>
  <c r="M57"/>
  <c r="K57"/>
  <c r="G57"/>
  <c r="K60" l="1"/>
  <c r="P10"/>
  <c r="O57"/>
  <c r="D60" s="1"/>
  <c r="E57"/>
  <c r="H60" l="1"/>
  <c r="O60"/>
  <c r="N60"/>
  <c r="I60"/>
  <c r="L60"/>
  <c r="F60"/>
  <c r="M60"/>
  <c r="G60"/>
  <c r="J60"/>
  <c r="C60"/>
  <c r="E60"/>
  <c r="L5" i="13"/>
  <c r="L6"/>
  <c r="L7"/>
  <c r="L8"/>
  <c r="L9"/>
  <c r="L10"/>
  <c r="L11"/>
  <c r="L12"/>
  <c r="L13"/>
  <c r="L14"/>
  <c r="L15"/>
  <c r="L16"/>
  <c r="L4"/>
  <c r="J9" l="1"/>
  <c r="J10"/>
  <c r="J11"/>
  <c r="J15"/>
  <c r="G10" l="1"/>
  <c r="G12"/>
  <c r="D5" l="1"/>
  <c r="D6"/>
  <c r="D7"/>
  <c r="D8"/>
  <c r="D9"/>
  <c r="D10"/>
  <c r="D11"/>
  <c r="D12"/>
  <c r="D13"/>
  <c r="D14"/>
  <c r="D15"/>
  <c r="D16"/>
  <c r="D4"/>
  <c r="F9"/>
  <c r="F11"/>
  <c r="S5" i="14"/>
  <c r="S6"/>
  <c r="S7"/>
  <c r="S8"/>
  <c r="S10"/>
  <c r="S12"/>
  <c r="S13"/>
  <c r="S15"/>
  <c r="S16"/>
  <c r="C58" i="1"/>
  <c r="F14" i="13" l="1"/>
  <c r="F8"/>
  <c r="T8" i="14"/>
  <c r="F16" i="13"/>
  <c r="T16" i="14"/>
  <c r="F12" i="13"/>
  <c r="T12" i="14"/>
  <c r="F6" i="13"/>
  <c r="T6" i="14"/>
  <c r="F13" i="13"/>
  <c r="T13" i="14"/>
  <c r="F7" i="13"/>
  <c r="T7" i="14"/>
  <c r="F15" i="13"/>
  <c r="T15" i="14"/>
  <c r="F10" i="13"/>
  <c r="T10" i="14"/>
  <c r="F5" i="13"/>
  <c r="T11" i="14"/>
  <c r="T5"/>
  <c r="T9"/>
  <c r="C19" i="6"/>
  <c r="F13" i="15" l="1"/>
  <c r="F12"/>
  <c r="F7"/>
  <c r="F6"/>
  <c r="E14" i="7" l="1"/>
  <c r="E17"/>
  <c r="E8"/>
  <c r="E9"/>
  <c r="E13"/>
  <c r="P5" i="13" l="1"/>
  <c r="P6"/>
  <c r="P7"/>
  <c r="P8"/>
  <c r="P9"/>
  <c r="P10"/>
  <c r="P11"/>
  <c r="P12"/>
  <c r="P13"/>
  <c r="P14"/>
  <c r="P4"/>
  <c r="J17" i="7" l="1"/>
  <c r="J13"/>
  <c r="J9"/>
  <c r="J6"/>
  <c r="J2" l="1"/>
  <c r="J3"/>
  <c r="K8"/>
  <c r="K13"/>
  <c r="K6"/>
  <c r="K17"/>
  <c r="K9"/>
  <c r="E6"/>
  <c r="F3" l="1"/>
  <c r="S4" i="14" l="1"/>
  <c r="T4" s="1"/>
  <c r="F4" i="13" l="1"/>
  <c r="F18" i="6" l="1"/>
  <c r="F19"/>
  <c r="F20" l="1"/>
  <c r="BD16" i="5"/>
  <c r="H16" i="13" s="1"/>
  <c r="BD15" i="5"/>
  <c r="H15" i="13" s="1"/>
  <c r="BD14" i="5"/>
  <c r="H14" i="13" s="1"/>
  <c r="BD13" i="5"/>
  <c r="H13" i="13" s="1"/>
  <c r="BD12" i="5"/>
  <c r="H12" i="13" s="1"/>
  <c r="BD11" i="5"/>
  <c r="H11" i="13" s="1"/>
  <c r="BD10" i="5"/>
  <c r="H10" i="13" s="1"/>
  <c r="BD9" i="5"/>
  <c r="H9" i="13" s="1"/>
  <c r="BD8" i="5"/>
  <c r="H8" i="13" s="1"/>
  <c r="BD7" i="5"/>
  <c r="H7" i="13" s="1"/>
  <c r="BD6" i="5"/>
  <c r="H6" i="13" s="1"/>
  <c r="BD5" i="5"/>
  <c r="H5" i="13" s="1"/>
  <c r="BD4" i="5"/>
  <c r="H4" i="13" s="1"/>
  <c r="F21" i="6" l="1"/>
  <c r="G17" s="1"/>
  <c r="BE4" i="5"/>
  <c r="BE10"/>
  <c r="BE5"/>
  <c r="BE11"/>
  <c r="BE6"/>
  <c r="BE12"/>
  <c r="BE8"/>
  <c r="BE14"/>
  <c r="BE13"/>
  <c r="BE15"/>
  <c r="BE7"/>
  <c r="BE9"/>
  <c r="BE16"/>
  <c r="G8" i="6" l="1"/>
  <c r="G9"/>
  <c r="G13"/>
  <c r="G15"/>
  <c r="M4" i="13"/>
  <c r="N58" i="1" l="1"/>
  <c r="A6" l="1"/>
  <c r="A7" s="1"/>
  <c r="A8" s="1"/>
  <c r="A9" s="1"/>
  <c r="A10" s="1"/>
  <c r="D15" i="10"/>
  <c r="M15" i="13" s="1"/>
  <c r="D7" i="10"/>
  <c r="M7" i="13" s="1"/>
  <c r="A11" i="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O58"/>
  <c r="M58"/>
  <c r="F14" i="15"/>
  <c r="F15"/>
  <c r="F16"/>
  <c r="D5" i="10"/>
  <c r="M5" i="13" s="1"/>
  <c r="D6" i="10"/>
  <c r="M6" i="13" s="1"/>
  <c r="D8" i="10"/>
  <c r="M8" i="13" s="1"/>
  <c r="D9" i="10"/>
  <c r="M9" i="13" s="1"/>
  <c r="D10" i="10"/>
  <c r="M10" i="13" s="1"/>
  <c r="D11" i="10"/>
  <c r="M11" i="13" s="1"/>
  <c r="D12" i="10"/>
  <c r="M12" i="13" s="1"/>
  <c r="D13" i="10"/>
  <c r="M13" i="13" s="1"/>
  <c r="D14" i="10"/>
  <c r="M14" i="13" s="1"/>
  <c r="D16" i="10"/>
  <c r="M16" i="13" s="1"/>
  <c r="K5" i="12"/>
  <c r="O5" i="13" s="1"/>
  <c r="K6" i="12"/>
  <c r="O6" i="13" s="1"/>
  <c r="K7" i="12"/>
  <c r="O7" i="13" s="1"/>
  <c r="K8" i="12"/>
  <c r="O8" i="13" s="1"/>
  <c r="K9" i="12"/>
  <c r="O9" i="13" s="1"/>
  <c r="K10" i="12"/>
  <c r="O10" i="13" s="1"/>
  <c r="K11" i="12"/>
  <c r="O11" i="13" s="1"/>
  <c r="K12" i="12"/>
  <c r="O12" i="13" s="1"/>
  <c r="K13" i="12"/>
  <c r="O13" i="13" s="1"/>
  <c r="K14" i="12"/>
  <c r="O14" i="13" s="1"/>
  <c r="K15" i="12"/>
  <c r="O15" i="13" s="1"/>
  <c r="K16" i="12"/>
  <c r="O16" i="13" s="1"/>
  <c r="C27" i="3"/>
  <c r="C26"/>
  <c r="F5" i="15"/>
  <c r="F8"/>
  <c r="F9"/>
  <c r="F10"/>
  <c r="F11"/>
  <c r="F4"/>
  <c r="I7" s="1"/>
  <c r="C27" i="6"/>
  <c r="P5" i="1"/>
  <c r="K4" i="12"/>
  <c r="O4" i="13" s="1"/>
  <c r="I58" i="1"/>
  <c r="E58"/>
  <c r="F58"/>
  <c r="G58"/>
  <c r="L58"/>
  <c r="K58"/>
  <c r="J58"/>
  <c r="D58"/>
  <c r="H58"/>
  <c r="J3" i="11" l="1"/>
  <c r="I12" i="15"/>
  <c r="I13"/>
  <c r="C24" i="3"/>
  <c r="C25" s="1"/>
  <c r="F17" s="1"/>
  <c r="M17" s="1"/>
  <c r="E14" i="13" s="1"/>
  <c r="D27" i="6"/>
  <c r="I9" i="15"/>
  <c r="I5"/>
  <c r="I6"/>
  <c r="I8"/>
  <c r="I14"/>
  <c r="G2"/>
  <c r="I16"/>
  <c r="I10"/>
  <c r="I15"/>
  <c r="F2" i="7"/>
  <c r="E21" s="1"/>
  <c r="C28" i="6"/>
  <c r="J2" i="11"/>
  <c r="G1" i="15"/>
  <c r="I4"/>
  <c r="I11"/>
  <c r="J22" i="11" l="1"/>
  <c r="F16" i="3"/>
  <c r="M16" s="1"/>
  <c r="E13" i="13" s="1"/>
  <c r="F18" i="3"/>
  <c r="M18" s="1"/>
  <c r="E15" i="13" s="1"/>
  <c r="F14" i="3"/>
  <c r="M14" s="1"/>
  <c r="E11" i="13" s="1"/>
  <c r="F11" i="3"/>
  <c r="M11" s="1"/>
  <c r="E8" i="13" s="1"/>
  <c r="F19" i="3"/>
  <c r="M19" s="1"/>
  <c r="E16" i="13" s="1"/>
  <c r="F10" i="3"/>
  <c r="M10" s="1"/>
  <c r="E7" i="13" s="1"/>
  <c r="F7" i="3"/>
  <c r="M7" s="1"/>
  <c r="E4" i="13" s="1"/>
  <c r="F15" i="3"/>
  <c r="M15" s="1"/>
  <c r="E12" i="13" s="1"/>
  <c r="F8" i="3"/>
  <c r="M8" s="1"/>
  <c r="E5" i="13" s="1"/>
  <c r="F13" i="3"/>
  <c r="M13" s="1"/>
  <c r="E10" i="13" s="1"/>
  <c r="F12" i="3"/>
  <c r="M12" s="1"/>
  <c r="E9" i="13" s="1"/>
  <c r="F9" i="3"/>
  <c r="M9" s="1"/>
  <c r="E6" i="13" s="1"/>
  <c r="C29" i="6"/>
  <c r="D28"/>
  <c r="E22" i="7"/>
  <c r="J14" i="13" s="1"/>
  <c r="J23" i="11" l="1"/>
  <c r="F8" i="7"/>
  <c r="J7" i="13" s="1"/>
  <c r="F14" i="7"/>
  <c r="J13" i="13" s="1"/>
  <c r="J4"/>
  <c r="J6"/>
  <c r="F17" i="7"/>
  <c r="J16" i="13" s="1"/>
  <c r="J8"/>
  <c r="F13" i="7"/>
  <c r="J12" i="13" s="1"/>
  <c r="J5"/>
  <c r="N13" i="3"/>
  <c r="N18"/>
  <c r="N14"/>
  <c r="N10"/>
  <c r="N17"/>
  <c r="N15"/>
  <c r="N12"/>
  <c r="N7"/>
  <c r="N11"/>
  <c r="N9"/>
  <c r="N8"/>
  <c r="N19"/>
  <c r="N16"/>
  <c r="D29" i="6"/>
  <c r="C30"/>
  <c r="J12" i="11" l="1"/>
  <c r="N10" i="13" s="1"/>
  <c r="G27" s="1"/>
  <c r="N7"/>
  <c r="J14" i="11"/>
  <c r="N12" i="13" s="1"/>
  <c r="G29" s="1"/>
  <c r="J17" i="11"/>
  <c r="J15"/>
  <c r="N13" i="13" s="1"/>
  <c r="J10" i="11"/>
  <c r="N8" i="13" s="1"/>
  <c r="J11" i="11"/>
  <c r="N9" i="13" s="1"/>
  <c r="N14"/>
  <c r="N4"/>
  <c r="J7" i="11"/>
  <c r="N5" i="13" s="1"/>
  <c r="N6"/>
  <c r="N15"/>
  <c r="G11" i="7"/>
  <c r="G10"/>
  <c r="G12"/>
  <c r="G5"/>
  <c r="G8"/>
  <c r="G13"/>
  <c r="G14"/>
  <c r="G9"/>
  <c r="G17"/>
  <c r="G16"/>
  <c r="G15"/>
  <c r="D30" i="6"/>
  <c r="C31"/>
  <c r="G6" i="7"/>
  <c r="G7"/>
  <c r="K13" i="11" l="1"/>
  <c r="N11" i="13"/>
  <c r="K6" i="11"/>
  <c r="K12"/>
  <c r="K11"/>
  <c r="K18"/>
  <c r="N16" i="13"/>
  <c r="K14" i="11"/>
  <c r="K15"/>
  <c r="K16"/>
  <c r="K7"/>
  <c r="K8"/>
  <c r="K10"/>
  <c r="K9"/>
  <c r="D31" i="6"/>
  <c r="C32"/>
  <c r="C33" l="1"/>
  <c r="D32"/>
  <c r="D33" l="1"/>
  <c r="C34"/>
  <c r="D34" l="1"/>
  <c r="C35"/>
  <c r="C36" l="1"/>
  <c r="D35"/>
  <c r="D36" l="1"/>
  <c r="C37"/>
  <c r="D37" l="1"/>
  <c r="C38"/>
  <c r="D38" l="1"/>
  <c r="C39"/>
  <c r="D39" l="1"/>
  <c r="C40"/>
  <c r="D40" l="1"/>
  <c r="C41"/>
  <c r="C42" l="1"/>
  <c r="D41"/>
  <c r="D42" l="1"/>
  <c r="C43"/>
  <c r="D43" s="1"/>
  <c r="H14" l="1"/>
  <c r="I13" i="13" s="1"/>
  <c r="H9" i="6"/>
  <c r="I8" i="13" s="1"/>
  <c r="G6" i="6"/>
  <c r="H6" s="1"/>
  <c r="I5" i="13" s="1"/>
  <c r="H16" i="6"/>
  <c r="I15" i="13" s="1"/>
  <c r="H13" i="6"/>
  <c r="I12" i="13" s="1"/>
  <c r="Q12" s="1"/>
  <c r="H15" i="6"/>
  <c r="I14" i="13" s="1"/>
  <c r="H12" i="6"/>
  <c r="I11" i="13" s="1"/>
  <c r="H11" i="6"/>
  <c r="I10" i="13" s="1"/>
  <c r="Q10" s="1"/>
  <c r="H17" i="6"/>
  <c r="I16" i="13" s="1"/>
  <c r="H8" i="6"/>
  <c r="I7" i="13" s="1"/>
  <c r="G7" i="6"/>
  <c r="H7" s="1"/>
  <c r="I6" i="13" s="1"/>
  <c r="H10" i="6"/>
  <c r="I9" i="13" s="1"/>
  <c r="G5" i="6"/>
  <c r="H5" s="1"/>
  <c r="I4" i="13" s="1"/>
  <c r="C32" l="1"/>
  <c r="E32"/>
  <c r="D32"/>
  <c r="E29"/>
  <c r="E23"/>
  <c r="E28"/>
  <c r="E22"/>
  <c r="E31"/>
  <c r="E24"/>
  <c r="E25"/>
  <c r="E26"/>
  <c r="E27"/>
  <c r="E30"/>
  <c r="D25"/>
  <c r="C25"/>
  <c r="D31"/>
  <c r="C31"/>
  <c r="D22"/>
  <c r="C22"/>
  <c r="C29"/>
  <c r="H29"/>
  <c r="D29"/>
  <c r="D24"/>
  <c r="C24"/>
  <c r="C23"/>
  <c r="D23"/>
  <c r="C28"/>
  <c r="D28"/>
  <c r="C26"/>
  <c r="D26"/>
  <c r="C27"/>
  <c r="D27"/>
  <c r="H27"/>
  <c r="D30"/>
  <c r="C30"/>
  <c r="I14" i="6"/>
  <c r="I13"/>
  <c r="I15"/>
  <c r="I17"/>
  <c r="I8"/>
  <c r="I12"/>
  <c r="I16"/>
  <c r="I9"/>
  <c r="I11"/>
  <c r="I7"/>
  <c r="I10"/>
  <c r="I6"/>
  <c r="I5"/>
  <c r="E21" i="13" l="1"/>
  <c r="E35" s="1"/>
  <c r="C21"/>
  <c r="C35" s="1"/>
  <c r="D21"/>
  <c r="D35" s="1"/>
  <c r="F6" i="4" l="1"/>
  <c r="F17" l="1"/>
  <c r="F22"/>
  <c r="F7"/>
  <c r="G13" i="13" s="1"/>
  <c r="H30" l="1"/>
  <c r="Q13"/>
  <c r="G11"/>
  <c r="F15" i="4"/>
  <c r="F14"/>
  <c r="G8" i="13" s="1"/>
  <c r="F11" i="4"/>
  <c r="G4" i="13"/>
  <c r="G16"/>
  <c r="Q16" s="1"/>
  <c r="F13" i="4"/>
  <c r="G14" i="13"/>
  <c r="G15"/>
  <c r="G30"/>
  <c r="G31" l="1"/>
  <c r="Q14"/>
  <c r="H31"/>
  <c r="G32"/>
  <c r="Q15"/>
  <c r="H32"/>
  <c r="G21"/>
  <c r="Q4"/>
  <c r="H21"/>
  <c r="G28"/>
  <c r="Q11"/>
  <c r="H28"/>
  <c r="G25"/>
  <c r="Q8"/>
  <c r="H25"/>
  <c r="G11" i="4"/>
  <c r="G5" i="13"/>
  <c r="G7"/>
  <c r="G9"/>
  <c r="G6"/>
  <c r="F21" i="19"/>
  <c r="G24" i="13" l="1"/>
  <c r="Q7"/>
  <c r="H24"/>
  <c r="G26"/>
  <c r="Q9"/>
  <c r="H26"/>
  <c r="G23"/>
  <c r="Q6"/>
  <c r="H23"/>
  <c r="G22"/>
  <c r="G35" s="1"/>
  <c r="Q5"/>
  <c r="H22"/>
  <c r="I12" i="19"/>
  <c r="I11"/>
  <c r="F22"/>
  <c r="I14" s="1"/>
  <c r="I10" l="1"/>
  <c r="I9"/>
  <c r="I13"/>
  <c r="I8"/>
  <c r="I7"/>
  <c r="I15"/>
  <c r="I6"/>
</calcChain>
</file>

<file path=xl/sharedStrings.xml><?xml version="1.0" encoding="utf-8"?>
<sst xmlns="http://schemas.openxmlformats.org/spreadsheetml/2006/main" count="696" uniqueCount="267">
  <si>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</si>
  <si>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</si>
  <si>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</si>
  <si>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</si>
  <si>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</si>
  <si>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</si>
  <si>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</si>
  <si>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</si>
  <si>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</si>
  <si>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</si>
  <si>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</si>
  <si>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</si>
  <si>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</si>
  <si>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</si>
  <si>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</si>
  <si>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</si>
  <si>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</si>
  <si>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</si>
  <si>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</si>
  <si>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</si>
  <si>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</si>
  <si>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</si>
  <si>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</si>
  <si>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</si>
  <si>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TOTAL</t>
  </si>
  <si>
    <t>RANK</t>
  </si>
  <si>
    <t>FINAL</t>
  </si>
  <si>
    <t>Ordinal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</si>
  <si>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</si>
  <si>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</si>
  <si>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</si>
  <si>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</si>
  <si>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</si>
  <si>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</si>
  <si>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</si>
  <si>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</si>
  <si>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</si>
  <si>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</si>
  <si>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</si>
  <si>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</si>
  <si>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</si>
  <si>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</si>
  <si>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</si>
  <si>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</si>
  <si>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</si>
  <si>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</si>
  <si>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</si>
  <si>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</si>
  <si>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</si>
  <si>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</si>
  <si>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</si>
  <si>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</si>
  <si>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</si>
  <si>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</si>
  <si>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</si>
  <si>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</si>
  <si>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</si>
  <si>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</si>
  <si>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</si>
  <si>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</si>
  <si>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</si>
  <si>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</si>
  <si>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</si>
  <si>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</si>
  <si>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Fuel Economy Winner (Gage)</t>
  </si>
  <si>
    <t>Most Practical Winner (BRC)</t>
  </si>
  <si>
    <t>Best Handling (Polaris)</t>
  </si>
  <si>
    <t>Average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</si>
  <si>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</si>
  <si>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</si>
  <si>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</si>
  <si>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</si>
  <si>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</si>
  <si>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</si>
  <si>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</si>
  <si>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</si>
  <si>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</si>
  <si>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Inspection
 Penalty</t>
  </si>
  <si>
    <t>Ranking</t>
  </si>
  <si>
    <t>CSC Points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</si>
  <si>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</si>
  <si>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</si>
  <si>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</si>
  <si>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</si>
  <si>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</si>
  <si>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</si>
  <si>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Completed 5 Modes</t>
  </si>
  <si>
    <t>Lab Emission Test</t>
  </si>
  <si>
    <t>Lab Emission Points</t>
  </si>
  <si>
    <t>Lab EmissionRanking</t>
  </si>
  <si>
    <t>Weighted BSFC</t>
  </si>
  <si>
    <t>Teams exceeding 130 HP during the Power Sweep will not be allowed to continue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</si>
  <si>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</si>
  <si>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</si>
  <si>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</si>
  <si>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</si>
  <si>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</si>
  <si>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</si>
  <si>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</si>
  <si>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</si>
  <si>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</si>
  <si>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</si>
  <si>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</si>
  <si>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</si>
  <si>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</si>
  <si>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</si>
  <si>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</si>
  <si>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</si>
  <si>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</si>
  <si>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</si>
  <si>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</si>
  <si>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</si>
  <si>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</si>
  <si>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</si>
  <si>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</si>
  <si>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</si>
  <si>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</si>
  <si>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</si>
  <si>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</si>
  <si>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</si>
  <si>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</si>
  <si>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</si>
  <si>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</si>
  <si>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</si>
  <si>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</si>
  <si>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</si>
  <si>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</si>
  <si>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</si>
  <si>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</si>
  <si>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</si>
  <si>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</si>
  <si>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</si>
  <si>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</si>
  <si>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</si>
  <si>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</si>
  <si>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</si>
  <si>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Sound Pressure</t>
  </si>
  <si>
    <t>Sample result: -3dB in sound pressure = ~half the max score</t>
  </si>
  <si>
    <t>Lowest SPL gets 150 points</t>
  </si>
  <si>
    <t>SPL equal to or greater than control sled gets 7.5 points</t>
  </si>
  <si>
    <t>CO+NO+THC
g/mile</t>
  </si>
  <si>
    <t>Endurance</t>
  </si>
  <si>
    <t>Run 1 Lap Time (s)</t>
  </si>
  <si>
    <t>Run 2 Lap Time (s)</t>
  </si>
  <si>
    <t>Fuel consumed (gallons)</t>
  </si>
  <si>
    <t>Design Paper
Judge</t>
  </si>
  <si>
    <t>Minimum team J1161 Sound Pressure Level =</t>
  </si>
  <si>
    <t>Control Sled J1161 Sound Pressure Level</t>
  </si>
  <si>
    <t>MinEScore</t>
  </si>
  <si>
    <t>MaxEScore</t>
  </si>
  <si>
    <t>MinBSFC</t>
  </si>
  <si>
    <t>MaxBSFC</t>
  </si>
  <si>
    <t>Minimum Points</t>
  </si>
  <si>
    <t>Maximum Points</t>
  </si>
  <si>
    <t>Value</t>
  </si>
  <si>
    <t>as above</t>
  </si>
  <si>
    <t>dBA</t>
  </si>
  <si>
    <t>Control Sled tested to J1161 Sound Pressure
 at 35mph in dBA</t>
  </si>
  <si>
    <t>Total Time must be Less than 10 seconds</t>
  </si>
  <si>
    <t>Total Points</t>
  </si>
  <si>
    <t>FE Score</t>
  </si>
  <si>
    <t>FE Ordinal</t>
  </si>
  <si>
    <t>Penalties</t>
  </si>
  <si>
    <t>negative numbers</t>
  </si>
  <si>
    <t>positive numbers</t>
  </si>
  <si>
    <t>Top Speed Run 1</t>
  </si>
  <si>
    <t>Top Speed Run 2</t>
  </si>
  <si>
    <t>Best Speed (mph)</t>
  </si>
  <si>
    <t>Sums</t>
  </si>
  <si>
    <t>Horiba "A Team in Need" - portable
 5 gas analyzer $5,000 value</t>
  </si>
  <si>
    <t>Ecole De Technologie Superieure</t>
  </si>
  <si>
    <t>Univ of Wisconsin - Madison</t>
  </si>
  <si>
    <t>Univ of Minnesota-Duluth</t>
  </si>
  <si>
    <t>Univ of Idaho</t>
  </si>
  <si>
    <t>SUNY - Buffalo</t>
  </si>
  <si>
    <t>Rochester Institute of Technology</t>
  </si>
  <si>
    <t>Iowa State Univ</t>
  </si>
  <si>
    <t>Univ of Wisconsin - Platteville</t>
  </si>
  <si>
    <t>Indiana Univ Purdue Univ Indianapolis</t>
  </si>
  <si>
    <t>Univ of Minnesota - Twin Cities</t>
  </si>
  <si>
    <t>Ferris State University</t>
  </si>
  <si>
    <t>For reference only</t>
  </si>
  <si>
    <t>Brenden Bungert Polaris</t>
  </si>
  <si>
    <t>DNC</t>
  </si>
  <si>
    <t>(Best fuel economy)</t>
  </si>
  <si>
    <t>(worst fuel economy)</t>
  </si>
  <si>
    <t>Name</t>
  </si>
  <si>
    <t>Maximum Horsepower &lt; 130</t>
  </si>
  <si>
    <t>CO &lt; 275</t>
  </si>
  <si>
    <t>HC + Nox &lt; 90</t>
  </si>
  <si>
    <t>E Score &gt; 175</t>
  </si>
  <si>
    <t>Soot &lt; 50</t>
  </si>
  <si>
    <t>Passing E Scores</t>
  </si>
  <si>
    <t>Must PASS "Lab Emissions Test" to score "Lab Emission Points"</t>
  </si>
  <si>
    <t>Must PASS "Completed 5 Modes" to score "BSFC points", but do not have to PASS the "Lab Emission Test"</t>
  </si>
  <si>
    <t>equals aaverage</t>
  </si>
  <si>
    <t>Late for inspection</t>
  </si>
  <si>
    <t>Flags 1 sec</t>
  </si>
  <si>
    <t>Box 5 sec</t>
  </si>
  <si>
    <t>Best Design Winner (Oshkosh)</t>
  </si>
  <si>
    <t>Best Value Award (Continental)</t>
  </si>
  <si>
    <r>
      <t xml:space="preserve">Most Sportsmanlike Winner  (AVL) </t>
    </r>
    <r>
      <rPr>
        <b/>
        <sz val="12"/>
        <color rgb="FF00B050"/>
        <rFont val="Arial"/>
        <family val="2"/>
      </rPr>
      <t>$1000</t>
    </r>
  </si>
  <si>
    <r>
      <t xml:space="preserve">Second Place Winner Overall (YNP) </t>
    </r>
    <r>
      <rPr>
        <b/>
        <sz val="12"/>
        <color rgb="FF00B050"/>
        <rFont val="Arial"/>
        <family val="2"/>
      </rPr>
      <t>$750</t>
    </r>
  </si>
  <si>
    <r>
      <t>Third Place Winner Overall (ACSA)</t>
    </r>
    <r>
      <rPr>
        <b/>
        <sz val="12"/>
        <color rgb="FF00B050"/>
        <rFont val="Arial"/>
        <family val="2"/>
      </rPr>
      <t xml:space="preserve"> $500</t>
    </r>
  </si>
  <si>
    <r>
      <t xml:space="preserve">Best Engine Design (Mahle) </t>
    </r>
    <r>
      <rPr>
        <b/>
        <sz val="12"/>
        <color rgb="FF00B050"/>
        <rFont val="Arial"/>
        <family val="2"/>
      </rPr>
      <t>$500</t>
    </r>
  </si>
  <si>
    <r>
      <t xml:space="preserve">First Place Winner Overall
 (ISMA) </t>
    </r>
    <r>
      <rPr>
        <b/>
        <sz val="12"/>
        <color rgb="FF00B050"/>
        <rFont val="Arial"/>
        <family val="2"/>
      </rPr>
      <t>$1,000</t>
    </r>
    <r>
      <rPr>
        <b/>
        <sz val="12"/>
        <rFont val="Arial"/>
        <family val="2"/>
      </rPr>
      <t xml:space="preserve"> 
Additionally from MacLean-Fogg $1000 plus traveling trophy</t>
    </r>
  </si>
  <si>
    <t>Best Performance Winner (CAMSO)
Camso Trac for 2019</t>
  </si>
  <si>
    <t>Quietest Snowmobile Winner (PCB) 
Camso Trac for 2019</t>
  </si>
  <si>
    <t>MSA Award Plaque for Endurance</t>
  </si>
  <si>
    <t>Best Lab Emissions Winner (AVL)</t>
  </si>
  <si>
    <t xml:space="preserve"> Michigan Tech Univ</t>
  </si>
  <si>
    <t>Montana State Univ</t>
  </si>
  <si>
    <t>SAE CSC 2019 Design Paper</t>
  </si>
  <si>
    <t>SAE CSC 2019 IC Vehicle Weights</t>
  </si>
  <si>
    <t>SAE CSC 2019 Penalties and Bonuses</t>
  </si>
  <si>
    <t xml:space="preserve">SAE CSC 2019 Objective Handling/Driveability </t>
  </si>
  <si>
    <t>SAE CSC 2019 Cold Start Results</t>
  </si>
  <si>
    <t>SAE CSC 2019 In Service Emission Testing Results</t>
  </si>
  <si>
    <t>CSC 2019 LAB EMISSION TEST - SCORING SUMMARY</t>
  </si>
  <si>
    <t>SAE CSC 2019 Acceleration Results Bredan Bungert- Polaris</t>
  </si>
  <si>
    <t>SAE CSC 2019 Oral Presentation Results</t>
  </si>
  <si>
    <t>SAE CSC 2019 Fuel Economy/Endurance Results</t>
  </si>
  <si>
    <t>SAE CSC 2019 Subjective Ride Results - Event Coordinator - Polaris</t>
  </si>
  <si>
    <t>SAE CSC 2019 MSRP Results</t>
  </si>
  <si>
    <t>SAE CSC 2019 Static Display Results</t>
  </si>
  <si>
    <t>Did not complete inspeciton on day 1.
Late for inspection.</t>
  </si>
  <si>
    <t>Michigan Tech Univ</t>
  </si>
  <si>
    <t>DNF</t>
  </si>
  <si>
    <t>SAE CSC 2019 SI Engine Noise Testing</t>
  </si>
  <si>
    <t>Rank</t>
  </si>
  <si>
    <t>Michigan Tech</t>
  </si>
  <si>
    <t>#2 UMD</t>
  </si>
  <si>
    <t>PASS</t>
  </si>
  <si>
    <t>#3 University of Madison</t>
  </si>
  <si>
    <t>#4 ETS</t>
  </si>
  <si>
    <t>FAIL</t>
  </si>
  <si>
    <t>**</t>
  </si>
  <si>
    <t>#5 Plattville</t>
  </si>
  <si>
    <t>#6 Michigan Tech</t>
  </si>
  <si>
    <t>#7 Idaho</t>
  </si>
  <si>
    <t>#8 University of Minnesota</t>
  </si>
  <si>
    <t>#9 IUPUI</t>
  </si>
  <si>
    <t>#10 Ferris State</t>
  </si>
  <si>
    <t>#11 Iowa State</t>
  </si>
  <si>
    <t>#12 Buffalo</t>
  </si>
  <si>
    <t>#13 Montana State</t>
  </si>
  <si>
    <t>#14 Rochester</t>
  </si>
  <si>
    <t>-</t>
  </si>
  <si>
    <t>g/kw-hr</t>
  </si>
  <si>
    <t>Track replacement</t>
  </si>
  <si>
    <t>Cracked header</t>
  </si>
  <si>
    <t>Control Sled Polaris</t>
  </si>
  <si>
    <t>E45</t>
  </si>
  <si>
    <t>Not eligible for second or third because team did not pass noise</t>
  </si>
  <si>
    <t>Not eligible for second or third because team did not pass emissioins</t>
  </si>
  <si>
    <t>None</t>
  </si>
  <si>
    <t>UMN Duluth</t>
  </si>
  <si>
    <t>UW Platteville</t>
  </si>
  <si>
    <t>Idaho</t>
  </si>
  <si>
    <t>Montana State</t>
  </si>
  <si>
    <t xml:space="preserve">Rookie of the year  Milwaukee Tool gift </t>
  </si>
  <si>
    <r>
      <t xml:space="preserve">Propulsion Efficiency (Borg Warner) </t>
    </r>
    <r>
      <rPr>
        <b/>
        <sz val="12"/>
        <color rgb="FF00B050"/>
        <rFont val="Arial"/>
        <family val="2"/>
      </rPr>
      <t>$1000</t>
    </r>
  </si>
  <si>
    <t>Control Sled</t>
  </si>
  <si>
    <t>DNX</t>
  </si>
  <si>
    <t>Emissions Fuel E Zero</t>
  </si>
  <si>
    <t>CAN-DO E-Controls award (E Controls) $1,000 value products</t>
  </si>
  <si>
    <t>CSC 2019 Competition Totals SI Class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</si>
</sst>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color rgb="FF00B050"/>
      <name val="Arial"/>
      <family val="2"/>
    </font>
    <font>
      <b/>
      <sz val="16"/>
      <color rgb="FF7030A0"/>
      <name val="Arial"/>
      <family val="2"/>
    </font>
    <font>
      <b/>
      <i/>
      <sz val="16"/>
      <name val="Arial"/>
      <family val="2"/>
    </font>
    <font>
      <b/>
      <sz val="16"/>
      <color rgb="FFC00000"/>
      <name val="Arial"/>
      <family val="2"/>
    </font>
    <font>
      <i/>
      <u/>
      <sz val="16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4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0"/>
      <color rgb="FFFFC000"/>
      <name val="Arial"/>
      <family val="2"/>
    </font>
    <font>
      <b/>
      <sz val="12"/>
      <color rgb="FF00B050"/>
      <name val="Arial"/>
      <family val="2"/>
    </font>
    <font>
      <sz val="18"/>
      <color rgb="FF000000"/>
      <name val="Calibri"/>
      <family val="2"/>
    </font>
    <font>
      <b/>
      <sz val="14"/>
      <color indexed="8"/>
      <name val="Arial"/>
      <family val="2"/>
    </font>
    <font>
      <sz val="11"/>
      <color rgb="FFFF0000"/>
      <name val="Calibri"/>
      <family val="2"/>
    </font>
    <font>
      <sz val="14"/>
      <color rgb="FFFF0000"/>
      <name val="Arial"/>
      <family val="2"/>
    </font>
    <font>
      <sz val="18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5">
    <xf numFmtId="0" fontId="0" fillId="0" borderId="0"/>
    <xf numFmtId="0" fontId="42" fillId="2" borderId="0" applyNumberFormat="0" applyBorder="0" applyAlignment="0" applyProtection="0"/>
    <xf numFmtId="44" fontId="43" fillId="0" borderId="0" applyFont="0" applyFill="0" applyBorder="0" applyAlignment="0" applyProtection="0"/>
    <xf numFmtId="0" fontId="11" fillId="0" borderId="0"/>
    <xf numFmtId="0" fontId="12" fillId="0" borderId="0"/>
    <xf numFmtId="0" fontId="61" fillId="0" borderId="0" applyNumberFormat="0" applyFill="0" applyBorder="0" applyAlignment="0" applyProtection="0"/>
    <xf numFmtId="44" fontId="12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61">
    <xf numFmtId="0" fontId="0" fillId="0" borderId="0" xfId="0"/>
    <xf numFmtId="0" fontId="0" fillId="0" borderId="0" xfId="0" applyBorder="1"/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3" fillId="0" borderId="0" xfId="0" applyFont="1" applyAlignment="1" applyProtection="1">
      <alignment horizontal="center"/>
    </xf>
    <xf numFmtId="0" fontId="0" fillId="0" borderId="0" xfId="0" applyProtection="1"/>
    <xf numFmtId="0" fontId="18" fillId="0" borderId="0" xfId="0" applyFont="1" applyProtection="1"/>
    <xf numFmtId="0" fontId="14" fillId="0" borderId="0" xfId="0" applyFont="1" applyProtection="1"/>
    <xf numFmtId="0" fontId="0" fillId="0" borderId="0" xfId="0" applyAlignment="1" applyProtection="1">
      <alignment horizontal="right"/>
    </xf>
    <xf numFmtId="0" fontId="13" fillId="0" borderId="0" xfId="0" applyFont="1" applyProtection="1"/>
    <xf numFmtId="0" fontId="13" fillId="0" borderId="0" xfId="0" applyFont="1" applyFill="1" applyBorder="1" applyProtection="1"/>
    <xf numFmtId="0" fontId="0" fillId="0" borderId="0" xfId="0" applyFill="1" applyBorder="1" applyProtection="1"/>
    <xf numFmtId="0" fontId="13" fillId="0" borderId="0" xfId="0" applyFont="1" applyAlignment="1" applyProtection="1">
      <alignment horizontal="right"/>
    </xf>
    <xf numFmtId="0" fontId="16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6" fillId="0" borderId="0" xfId="0" applyFont="1" applyFill="1" applyBorder="1" applyProtection="1"/>
    <xf numFmtId="1" fontId="13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7" fillId="0" borderId="0" xfId="0" applyFont="1" applyFill="1" applyBorder="1"/>
    <xf numFmtId="0" fontId="16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/>
    <xf numFmtId="0" fontId="17" fillId="0" borderId="0" xfId="0" applyFont="1" applyFill="1" applyBorder="1" applyAlignment="1" applyProtection="1">
      <alignment horizontal="right"/>
    </xf>
    <xf numFmtId="1" fontId="13" fillId="0" borderId="0" xfId="0" applyNumberFormat="1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7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1" fontId="15" fillId="0" borderId="0" xfId="0" applyNumberFormat="1" applyFont="1" applyAlignment="1" applyProtection="1">
      <alignment horizontal="right"/>
    </xf>
    <xf numFmtId="0" fontId="15" fillId="0" borderId="0" xfId="0" applyFont="1" applyProtection="1"/>
    <xf numFmtId="0" fontId="16" fillId="0" borderId="0" xfId="0" applyFont="1" applyFill="1" applyBorder="1" applyAlignment="1" applyProtection="1">
      <alignment horizontal="center" wrapText="1"/>
    </xf>
    <xf numFmtId="164" fontId="17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7" fillId="0" borderId="0" xfId="0" applyFont="1" applyFill="1"/>
    <xf numFmtId="0" fontId="16" fillId="0" borderId="0" xfId="0" applyFont="1" applyFill="1" applyAlignment="1" applyProtection="1">
      <alignment horizontal="center"/>
    </xf>
    <xf numFmtId="0" fontId="1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7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7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13" fillId="0" borderId="0" xfId="0" applyFont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13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5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21" fillId="0" borderId="0" xfId="0" applyFont="1"/>
    <xf numFmtId="0" fontId="13" fillId="0" borderId="0" xfId="0" applyFont="1" applyAlignment="1" applyProtection="1">
      <alignment horizontal="left"/>
    </xf>
    <xf numFmtId="0" fontId="15" fillId="0" borderId="0" xfId="0" applyFont="1"/>
    <xf numFmtId="0" fontId="15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13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7" fillId="0" borderId="0" xfId="0" quotePrefix="1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wrapText="1"/>
    </xf>
    <xf numFmtId="0" fontId="16" fillId="0" borderId="0" xfId="0" applyFont="1" applyAlignment="1" applyProtection="1">
      <alignment horizontal="left"/>
    </xf>
    <xf numFmtId="1" fontId="15" fillId="0" borderId="0" xfId="0" applyNumberFormat="1" applyFont="1" applyAlignment="1" applyProtection="1">
      <alignment horizontal="center"/>
    </xf>
    <xf numFmtId="165" fontId="15" fillId="0" borderId="0" xfId="0" applyNumberFormat="1" applyFont="1" applyProtection="1"/>
    <xf numFmtId="0" fontId="22" fillId="0" borderId="0" xfId="0" applyFont="1" applyProtection="1"/>
    <xf numFmtId="0" fontId="22" fillId="0" borderId="0" xfId="0" applyFont="1" applyAlignment="1" applyProtection="1"/>
    <xf numFmtId="0" fontId="22" fillId="0" borderId="0" xfId="0" applyFont="1" applyBorder="1" applyAlignment="1" applyProtection="1"/>
    <xf numFmtId="0" fontId="22" fillId="0" borderId="0" xfId="0" applyFont="1" applyBorder="1" applyProtection="1"/>
    <xf numFmtId="0" fontId="22" fillId="0" borderId="0" xfId="0" applyFont="1" applyBorder="1"/>
    <xf numFmtId="0" fontId="22" fillId="0" borderId="0" xfId="0" applyFont="1" applyBorder="1" applyAlignment="1">
      <alignment horizontal="center"/>
    </xf>
    <xf numFmtId="0" fontId="22" fillId="0" borderId="0" xfId="0" applyFont="1" applyFill="1" applyBorder="1" applyProtection="1"/>
    <xf numFmtId="0" fontId="22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/>
    <xf numFmtId="0" fontId="22" fillId="0" borderId="0" xfId="0" applyFont="1"/>
    <xf numFmtId="0" fontId="22" fillId="0" borderId="0" xfId="0" applyFont="1" applyAlignment="1">
      <alignment horizontal="center"/>
    </xf>
    <xf numFmtId="164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Alignment="1"/>
    <xf numFmtId="2" fontId="22" fillId="0" borderId="0" xfId="0" applyNumberFormat="1" applyFont="1" applyFill="1" applyBorder="1" applyAlignment="1" applyProtection="1">
      <alignment horizontal="center"/>
    </xf>
    <xf numFmtId="164" fontId="22" fillId="0" borderId="0" xfId="0" applyNumberFormat="1" applyFont="1" applyFill="1" applyBorder="1" applyAlignment="1" applyProtection="1"/>
    <xf numFmtId="164" fontId="22" fillId="0" borderId="0" xfId="0" applyNumberFormat="1" applyFont="1" applyFill="1" applyAlignment="1" applyProtection="1"/>
    <xf numFmtId="164" fontId="22" fillId="0" borderId="0" xfId="0" applyNumberFormat="1" applyFont="1" applyFill="1" applyProtection="1"/>
    <xf numFmtId="164" fontId="22" fillId="0" borderId="0" xfId="0" applyNumberFormat="1" applyFont="1" applyFill="1"/>
    <xf numFmtId="164" fontId="22" fillId="0" borderId="0" xfId="0" applyNumberFormat="1" applyFont="1" applyFill="1" applyAlignment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66" fontId="23" fillId="0" borderId="0" xfId="0" applyNumberFormat="1" applyFont="1" applyFill="1" applyBorder="1" applyAlignment="1" applyProtection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 applyProtection="1"/>
    <xf numFmtId="2" fontId="23" fillId="0" borderId="0" xfId="0" applyNumberFormat="1" applyFont="1" applyFill="1" applyBorder="1" applyAlignment="1">
      <alignment horizontal="center"/>
    </xf>
    <xf numFmtId="166" fontId="23" fillId="0" borderId="0" xfId="0" applyNumberFormat="1" applyFont="1" applyFill="1" applyBorder="1" applyAlignment="1">
      <alignment horizontal="center"/>
    </xf>
    <xf numFmtId="164" fontId="22" fillId="0" borderId="0" xfId="0" applyNumberFormat="1" applyFont="1" applyFill="1" applyBorder="1" applyAlignment="1">
      <alignment horizontal="center"/>
    </xf>
    <xf numFmtId="166" fontId="22" fillId="0" borderId="0" xfId="0" applyNumberFormat="1" applyFont="1" applyFill="1" applyBorder="1" applyAlignment="1" applyProtection="1">
      <alignment horizontal="center"/>
    </xf>
    <xf numFmtId="14" fontId="22" fillId="0" borderId="0" xfId="0" applyNumberFormat="1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Border="1" applyAlignment="1" applyProtection="1">
      <alignment horizontal="center"/>
    </xf>
    <xf numFmtId="0" fontId="17" fillId="0" borderId="0" xfId="0" applyFont="1" applyAlignment="1" applyProtection="1"/>
    <xf numFmtId="0" fontId="17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7" fillId="0" borderId="0" xfId="0" applyFont="1" applyAlignment="1"/>
    <xf numFmtId="164" fontId="17" fillId="0" borderId="0" xfId="0" applyNumberFormat="1" applyFont="1" applyFill="1" applyBorder="1" applyAlignment="1" applyProtection="1"/>
    <xf numFmtId="167" fontId="17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17" fillId="0" borderId="0" xfId="0" applyFont="1" applyFill="1" applyBorder="1" applyAlignment="1" applyProtection="1">
      <alignment horizontal="center" wrapText="1"/>
    </xf>
    <xf numFmtId="165" fontId="16" fillId="0" borderId="0" xfId="0" applyNumberFormat="1" applyFont="1" applyFill="1" applyBorder="1" applyProtection="1"/>
    <xf numFmtId="0" fontId="13" fillId="0" borderId="0" xfId="0" applyFont="1"/>
    <xf numFmtId="0" fontId="15" fillId="0" borderId="0" xfId="0" applyFont="1" applyAlignment="1" applyProtection="1">
      <alignment horizontal="center"/>
    </xf>
    <xf numFmtId="0" fontId="25" fillId="0" borderId="0" xfId="0" applyFont="1" applyProtection="1"/>
    <xf numFmtId="0" fontId="24" fillId="0" borderId="0" xfId="0" applyFont="1" applyProtection="1"/>
    <xf numFmtId="0" fontId="26" fillId="0" borderId="0" xfId="0" applyFont="1" applyFill="1" applyBorder="1" applyAlignment="1" applyProtection="1">
      <alignment horizontal="lef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0" fontId="25" fillId="0" borderId="0" xfId="0" applyFont="1"/>
    <xf numFmtId="0" fontId="25" fillId="0" borderId="0" xfId="0" applyFont="1" applyAlignment="1" applyProtection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Alignment="1" applyProtection="1">
      <alignment horizontal="center"/>
    </xf>
    <xf numFmtId="164" fontId="28" fillId="0" borderId="0" xfId="0" applyNumberFormat="1" applyFont="1" applyAlignment="1" applyProtection="1">
      <alignment horizontal="center"/>
    </xf>
    <xf numFmtId="0" fontId="24" fillId="0" borderId="0" xfId="0" applyFont="1" applyAlignment="1" applyProtection="1">
      <alignment horizontal="center"/>
    </xf>
    <xf numFmtId="167" fontId="24" fillId="0" borderId="0" xfId="0" applyNumberFormat="1" applyFont="1" applyFill="1" applyBorder="1" applyAlignment="1" applyProtection="1">
      <alignment horizontal="center"/>
    </xf>
    <xf numFmtId="0" fontId="24" fillId="0" borderId="0" xfId="0" applyFont="1" applyAlignment="1" applyProtection="1"/>
    <xf numFmtId="0" fontId="25" fillId="0" borderId="0" xfId="0" applyFont="1" applyFill="1"/>
    <xf numFmtId="0" fontId="25" fillId="0" borderId="0" xfId="0" applyFont="1" applyFill="1" applyBorder="1" applyAlignment="1" applyProtection="1">
      <alignment horizontal="right"/>
    </xf>
    <xf numFmtId="1" fontId="28" fillId="0" borderId="0" xfId="0" applyNumberFormat="1" applyFont="1" applyAlignment="1" applyProtection="1">
      <alignment horizontal="right"/>
    </xf>
    <xf numFmtId="0" fontId="0" fillId="0" borderId="0" xfId="0" applyAlignment="1">
      <alignment wrapText="1"/>
    </xf>
    <xf numFmtId="0" fontId="30" fillId="0" borderId="0" xfId="0" applyFont="1" applyAlignment="1" applyProtection="1">
      <alignment horizontal="center" wrapText="1"/>
    </xf>
    <xf numFmtId="0" fontId="29" fillId="0" borderId="0" xfId="0" applyFont="1"/>
    <xf numFmtId="0" fontId="29" fillId="0" borderId="0" xfId="0" applyFont="1" applyProtection="1"/>
    <xf numFmtId="0" fontId="15" fillId="0" borderId="0" xfId="0" applyFont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right"/>
    </xf>
    <xf numFmtId="0" fontId="13" fillId="0" borderId="0" xfId="0" applyFont="1" applyFill="1" applyAlignment="1">
      <alignment horizontal="center"/>
    </xf>
    <xf numFmtId="0" fontId="12" fillId="0" borderId="0" xfId="0" applyFont="1"/>
    <xf numFmtId="2" fontId="15" fillId="0" borderId="0" xfId="0" applyNumberFormat="1" applyFont="1" applyFill="1" applyBorder="1" applyAlignment="1" applyProtection="1">
      <alignment horizontal="center"/>
    </xf>
    <xf numFmtId="164" fontId="13" fillId="0" borderId="0" xfId="0" quotePrefix="1" applyNumberFormat="1" applyFont="1" applyBorder="1" applyAlignment="1" applyProtection="1">
      <alignment horizontal="center"/>
    </xf>
    <xf numFmtId="1" fontId="13" fillId="0" borderId="0" xfId="0" applyNumberFormat="1" applyFont="1" applyBorder="1" applyAlignment="1" applyProtection="1">
      <alignment horizontal="center"/>
    </xf>
    <xf numFmtId="164" fontId="13" fillId="0" borderId="0" xfId="0" applyNumberFormat="1" applyFont="1" applyBorder="1" applyAlignment="1" applyProtection="1">
      <alignment horizontal="right"/>
    </xf>
    <xf numFmtId="164" fontId="17" fillId="0" borderId="0" xfId="0" applyNumberFormat="1" applyFont="1" applyFill="1"/>
    <xf numFmtId="2" fontId="13" fillId="0" borderId="0" xfId="0" applyNumberFormat="1" applyFont="1" applyAlignment="1">
      <alignment horizontal="center"/>
    </xf>
    <xf numFmtId="0" fontId="32" fillId="0" borderId="0" xfId="0" applyFont="1" applyAlignment="1">
      <alignment horizontal="justify"/>
    </xf>
    <xf numFmtId="2" fontId="22" fillId="0" borderId="0" xfId="0" applyNumberFormat="1" applyFont="1" applyFill="1" applyBorder="1" applyAlignment="1" applyProtection="1">
      <alignment horizontal="left"/>
    </xf>
    <xf numFmtId="0" fontId="15" fillId="0" borderId="0" xfId="0" applyFont="1" applyAlignment="1"/>
    <xf numFmtId="0" fontId="31" fillId="0" borderId="0" xfId="0" applyFont="1" applyAlignment="1">
      <alignment horizontal="center"/>
    </xf>
    <xf numFmtId="0" fontId="24" fillId="0" borderId="0" xfId="0" applyFont="1" applyFill="1"/>
    <xf numFmtId="0" fontId="15" fillId="0" borderId="0" xfId="0" applyFont="1" applyFill="1" applyAlignment="1">
      <alignment horizontal="center"/>
    </xf>
    <xf numFmtId="0" fontId="13" fillId="0" borderId="0" xfId="0" applyFont="1" applyFill="1" applyAlignment="1" applyProtection="1">
      <alignment horizontal="center"/>
    </xf>
    <xf numFmtId="0" fontId="34" fillId="0" borderId="0" xfId="0" applyFont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left"/>
    </xf>
    <xf numFmtId="2" fontId="15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5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15" fillId="0" borderId="0" xfId="0" applyNumberFormat="1" applyFont="1" applyProtection="1"/>
    <xf numFmtId="1" fontId="0" fillId="0" borderId="0" xfId="0" applyNumberFormat="1" applyBorder="1"/>
    <xf numFmtId="0" fontId="15" fillId="0" borderId="0" xfId="0" applyFont="1" applyBorder="1" applyAlignment="1">
      <alignment horizontal="left" wrapText="1"/>
    </xf>
    <xf numFmtId="1" fontId="36" fillId="0" borderId="0" xfId="0" applyNumberFormat="1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/>
    <xf numFmtId="0" fontId="37" fillId="0" borderId="0" xfId="0" applyFont="1" applyAlignment="1">
      <alignment horizontal="center"/>
    </xf>
    <xf numFmtId="164" fontId="37" fillId="0" borderId="0" xfId="0" applyNumberFormat="1" applyFont="1"/>
    <xf numFmtId="0" fontId="37" fillId="0" borderId="0" xfId="0" applyFont="1" applyProtection="1"/>
    <xf numFmtId="1" fontId="36" fillId="0" borderId="0" xfId="0" applyNumberFormat="1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" wrapText="1"/>
    </xf>
    <xf numFmtId="164" fontId="12" fillId="0" borderId="2" xfId="0" applyNumberFormat="1" applyFont="1" applyFill="1" applyBorder="1" applyAlignment="1" applyProtection="1">
      <alignment horizontal="center"/>
    </xf>
    <xf numFmtId="0" fontId="12" fillId="0" borderId="0" xfId="0" applyFont="1" applyFill="1" applyAlignment="1">
      <alignment horizontal="center"/>
    </xf>
    <xf numFmtId="0" fontId="38" fillId="0" borderId="0" xfId="0" applyFont="1"/>
    <xf numFmtId="0" fontId="37" fillId="0" borderId="0" xfId="0" applyFont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0" fontId="37" fillId="0" borderId="0" xfId="0" applyFont="1" applyAlignment="1" applyProtection="1"/>
    <xf numFmtId="0" fontId="37" fillId="0" borderId="0" xfId="0" applyFont="1" applyFill="1"/>
    <xf numFmtId="167" fontId="37" fillId="0" borderId="0" xfId="0" applyNumberFormat="1" applyFont="1" applyFill="1" applyBorder="1" applyAlignment="1" applyProtection="1">
      <alignment horizontal="center"/>
    </xf>
    <xf numFmtId="0" fontId="37" fillId="0" borderId="0" xfId="0" applyFont="1" applyAlignment="1"/>
    <xf numFmtId="0" fontId="37" fillId="0" borderId="0" xfId="0" applyFont="1" applyFill="1" applyBorder="1" applyAlignment="1" applyProtection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2" fillId="0" borderId="0" xfId="0" applyFont="1" applyFill="1" applyBorder="1" applyAlignment="1" applyProtection="1">
      <alignment horizontal="center" wrapText="1"/>
    </xf>
    <xf numFmtId="0" fontId="39" fillId="0" borderId="0" xfId="0" applyFont="1" applyFill="1" applyBorder="1"/>
    <xf numFmtId="0" fontId="12" fillId="0" borderId="0" xfId="0" applyFont="1" applyAlignment="1">
      <alignment horizontal="left"/>
    </xf>
    <xf numFmtId="0" fontId="12" fillId="0" borderId="0" xfId="0" applyFont="1" applyProtection="1"/>
    <xf numFmtId="164" fontId="12" fillId="0" borderId="0" xfId="0" applyNumberFormat="1" applyFont="1" applyAlignment="1" applyProtection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Border="1" applyProtection="1"/>
    <xf numFmtId="0" fontId="40" fillId="0" borderId="0" xfId="0" applyFont="1" applyProtection="1"/>
    <xf numFmtId="0" fontId="40" fillId="0" borderId="0" xfId="0" applyFont="1"/>
    <xf numFmtId="1" fontId="12" fillId="0" borderId="0" xfId="0" applyNumberFormat="1" applyFont="1" applyAlignment="1" applyProtection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/>
    <xf numFmtId="164" fontId="12" fillId="0" borderId="0" xfId="0" applyNumberFormat="1" applyFont="1"/>
    <xf numFmtId="164" fontId="12" fillId="0" borderId="0" xfId="0" applyNumberFormat="1" applyFont="1" applyAlignment="1" applyProtection="1">
      <alignment horizontal="right"/>
    </xf>
    <xf numFmtId="0" fontId="31" fillId="0" borderId="0" xfId="0" applyFont="1" applyFill="1" applyBorder="1" applyAlignment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5" fontId="13" fillId="0" borderId="0" xfId="0" applyNumberFormat="1" applyFont="1" applyAlignment="1">
      <alignment horizontal="right"/>
    </xf>
    <xf numFmtId="2" fontId="13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168" fontId="13" fillId="0" borderId="0" xfId="0" applyNumberFormat="1" applyFont="1" applyAlignment="1">
      <alignment horizontal="right"/>
    </xf>
    <xf numFmtId="44" fontId="13" fillId="0" borderId="0" xfId="0" applyNumberFormat="1" applyFont="1" applyAlignment="1">
      <alignment horizontal="right"/>
    </xf>
    <xf numFmtId="0" fontId="13" fillId="0" borderId="0" xfId="0" applyFont="1" applyAlignment="1">
      <alignment wrapText="1"/>
    </xf>
    <xf numFmtId="0" fontId="15" fillId="0" borderId="0" xfId="0" applyFont="1" applyFill="1"/>
    <xf numFmtId="164" fontId="0" fillId="0" borderId="0" xfId="0" applyNumberFormat="1" applyAlignment="1">
      <alignment horizontal="center"/>
    </xf>
    <xf numFmtId="0" fontId="22" fillId="0" borderId="0" xfId="0" applyNumberFormat="1" applyFont="1" applyFill="1" applyBorder="1" applyAlignment="1" applyProtection="1">
      <alignment horizontal="center"/>
    </xf>
    <xf numFmtId="0" fontId="23" fillId="0" borderId="0" xfId="0" applyNumberFormat="1" applyFont="1" applyFill="1" applyBorder="1" applyAlignment="1" applyProtection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22" fillId="0" borderId="0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0" borderId="0" xfId="0" applyNumberFormat="1" applyFont="1"/>
    <xf numFmtId="0" fontId="0" fillId="0" borderId="0" xfId="0" applyNumberFormat="1"/>
    <xf numFmtId="164" fontId="15" fillId="0" borderId="0" xfId="0" applyNumberFormat="1" applyFont="1" applyFill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12" fillId="0" borderId="0" xfId="0" applyNumberFormat="1" applyFont="1" applyBorder="1" applyAlignment="1" applyProtection="1">
      <alignment horizontal="left"/>
    </xf>
    <xf numFmtId="165" fontId="42" fillId="0" borderId="0" xfId="1" applyNumberFormat="1" applyFill="1" applyBorder="1" applyProtection="1"/>
    <xf numFmtId="1" fontId="17" fillId="0" borderId="0" xfId="0" applyNumberFormat="1" applyFont="1" applyFill="1" applyBorder="1" applyAlignment="1" applyProtection="1">
      <alignment horizontal="center"/>
    </xf>
    <xf numFmtId="44" fontId="17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7" fillId="0" borderId="0" xfId="0" applyNumberFormat="1" applyFont="1" applyFill="1" applyBorder="1" applyAlignment="1" applyProtection="1">
      <alignment horizontal="center"/>
    </xf>
    <xf numFmtId="164" fontId="36" fillId="0" borderId="0" xfId="0" applyNumberFormat="1" applyFont="1" applyBorder="1" applyAlignment="1" applyProtection="1">
      <alignment horizontal="center"/>
    </xf>
    <xf numFmtId="0" fontId="37" fillId="0" borderId="0" xfId="0" applyFont="1" applyBorder="1"/>
    <xf numFmtId="0" fontId="37" fillId="0" borderId="0" xfId="0" applyFont="1" applyFill="1" applyBorder="1"/>
    <xf numFmtId="0" fontId="36" fillId="0" borderId="0" xfId="0" applyFont="1" applyBorder="1" applyAlignment="1" applyProtection="1">
      <alignment horizontal="center"/>
    </xf>
    <xf numFmtId="1" fontId="36" fillId="0" borderId="0" xfId="0" applyNumberFormat="1" applyFont="1" applyBorder="1" applyAlignment="1" applyProtection="1">
      <alignment horizontal="center"/>
    </xf>
    <xf numFmtId="1" fontId="12" fillId="0" borderId="0" xfId="0" applyNumberFormat="1" applyFont="1" applyBorder="1" applyAlignment="1" applyProtection="1">
      <alignment horizontal="center"/>
    </xf>
    <xf numFmtId="164" fontId="36" fillId="0" borderId="0" xfId="0" applyNumberFormat="1" applyFont="1" applyFill="1" applyBorder="1" applyAlignment="1" applyProtection="1">
      <alignment horizontal="center"/>
    </xf>
    <xf numFmtId="164" fontId="36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left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12" fillId="0" borderId="2" xfId="0" applyFont="1" applyFill="1" applyBorder="1" applyAlignment="1">
      <alignment horizontal="center"/>
    </xf>
    <xf numFmtId="0" fontId="47" fillId="0" borderId="0" xfId="0" applyFont="1"/>
    <xf numFmtId="1" fontId="37" fillId="0" borderId="0" xfId="0" applyNumberFormat="1" applyFont="1" applyAlignment="1">
      <alignment horizontal="center"/>
    </xf>
    <xf numFmtId="165" fontId="12" fillId="0" borderId="0" xfId="0" applyNumberFormat="1" applyFont="1" applyFill="1" applyBorder="1" applyProtection="1"/>
    <xf numFmtId="2" fontId="12" fillId="0" borderId="0" xfId="0" applyNumberFormat="1" applyFont="1"/>
    <xf numFmtId="165" fontId="41" fillId="0" borderId="0" xfId="1" applyNumberFormat="1" applyFont="1" applyFill="1" applyBorder="1" applyProtection="1"/>
    <xf numFmtId="0" fontId="37" fillId="0" borderId="0" xfId="0" applyFont="1" applyFill="1" applyBorder="1" applyAlignment="1">
      <alignment horizontal="center"/>
    </xf>
    <xf numFmtId="164" fontId="13" fillId="0" borderId="2" xfId="0" applyNumberFormat="1" applyFont="1" applyBorder="1" applyAlignment="1" applyProtection="1">
      <alignment horizontal="center"/>
    </xf>
    <xf numFmtId="1" fontId="12" fillId="0" borderId="0" xfId="0" applyNumberFormat="1" applyFont="1" applyBorder="1" applyAlignment="1" applyProtection="1">
      <alignment horizontal="right"/>
    </xf>
    <xf numFmtId="0" fontId="36" fillId="0" borderId="0" xfId="0" applyFont="1" applyFill="1" applyBorder="1" applyProtection="1"/>
    <xf numFmtId="0" fontId="18" fillId="0" borderId="0" xfId="0" applyFont="1" applyAlignment="1">
      <alignment horizontal="left"/>
    </xf>
    <xf numFmtId="1" fontId="37" fillId="0" borderId="0" xfId="0" applyNumberFormat="1" applyFont="1" applyBorder="1" applyAlignment="1" applyProtection="1">
      <alignment horizontal="left"/>
    </xf>
    <xf numFmtId="0" fontId="12" fillId="0" borderId="0" xfId="0" applyFont="1" applyFill="1" applyBorder="1"/>
    <xf numFmtId="164" fontId="12" fillId="0" borderId="0" xfId="0" applyNumberFormat="1" applyFont="1" applyBorder="1" applyAlignment="1" applyProtection="1">
      <alignment horizontal="left"/>
    </xf>
    <xf numFmtId="0" fontId="46" fillId="0" borderId="0" xfId="0" applyFont="1" applyFill="1" applyBorder="1" applyAlignment="1" applyProtection="1">
      <alignment horizontal="center" wrapText="1"/>
    </xf>
    <xf numFmtId="0" fontId="45" fillId="0" borderId="0" xfId="0" applyFont="1" applyAlignment="1"/>
    <xf numFmtId="0" fontId="45" fillId="0" borderId="0" xfId="0" applyFont="1"/>
    <xf numFmtId="0" fontId="12" fillId="0" borderId="2" xfId="0" applyFont="1" applyBorder="1" applyAlignment="1"/>
    <xf numFmtId="164" fontId="15" fillId="0" borderId="0" xfId="0" applyNumberFormat="1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48" fillId="0" borderId="0" xfId="0" applyFont="1" applyFill="1" applyAlignment="1" applyProtection="1">
      <alignment horizontal="center"/>
    </xf>
    <xf numFmtId="0" fontId="48" fillId="0" borderId="0" xfId="0" applyFont="1" applyFill="1" applyAlignment="1">
      <alignment horizontal="center"/>
    </xf>
    <xf numFmtId="2" fontId="48" fillId="0" borderId="0" xfId="0" applyNumberFormat="1" applyFont="1" applyFill="1" applyAlignment="1" applyProtection="1">
      <alignment horizontal="center"/>
    </xf>
    <xf numFmtId="0" fontId="49" fillId="0" borderId="0" xfId="0" applyFont="1" applyFill="1" applyAlignment="1">
      <alignment horizontal="center"/>
    </xf>
    <xf numFmtId="0" fontId="35" fillId="0" borderId="0" xfId="3" applyFont="1" applyBorder="1" applyAlignment="1">
      <alignment horizontal="left" wrapText="1"/>
    </xf>
    <xf numFmtId="0" fontId="52" fillId="0" borderId="0" xfId="0" applyFont="1" applyFill="1" applyAlignment="1" applyProtection="1">
      <alignment horizontal="center"/>
    </xf>
    <xf numFmtId="0" fontId="53" fillId="0" borderId="0" xfId="0" applyFont="1" applyAlignment="1">
      <alignment horizontal="left"/>
    </xf>
    <xf numFmtId="0" fontId="54" fillId="0" borderId="0" xfId="0" applyFont="1"/>
    <xf numFmtId="0" fontId="53" fillId="0" borderId="0" xfId="0" applyFont="1"/>
    <xf numFmtId="0" fontId="55" fillId="0" borderId="0" xfId="0" applyFont="1"/>
    <xf numFmtId="0" fontId="53" fillId="0" borderId="0" xfId="0" applyFont="1" applyProtection="1"/>
    <xf numFmtId="0" fontId="0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164" fontId="12" fillId="0" borderId="2" xfId="0" applyNumberFormat="1" applyFont="1" applyBorder="1" applyAlignment="1">
      <alignment horizontal="center"/>
    </xf>
    <xf numFmtId="0" fontId="51" fillId="0" borderId="0" xfId="0" applyFont="1"/>
    <xf numFmtId="0" fontId="53" fillId="0" borderId="0" xfId="0" applyFont="1" applyAlignment="1">
      <alignment horizontal="left" wrapText="1"/>
    </xf>
    <xf numFmtId="0" fontId="21" fillId="0" borderId="0" xfId="0" applyFont="1" applyAlignment="1" applyProtection="1"/>
    <xf numFmtId="164" fontId="13" fillId="0" borderId="0" xfId="0" applyNumberFormat="1" applyFont="1"/>
    <xf numFmtId="164" fontId="41" fillId="0" borderId="2" xfId="1" applyNumberFormat="1" applyFont="1" applyFill="1" applyBorder="1" applyAlignment="1">
      <alignment horizontal="center" wrapText="1"/>
    </xf>
    <xf numFmtId="1" fontId="13" fillId="0" borderId="0" xfId="0" applyNumberFormat="1" applyFont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0" fontId="57" fillId="0" borderId="0" xfId="0" applyFont="1" applyAlignment="1">
      <alignment horizontal="center"/>
    </xf>
    <xf numFmtId="0" fontId="18" fillId="0" borderId="0" xfId="0" applyFont="1"/>
    <xf numFmtId="0" fontId="57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2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60" fillId="0" borderId="0" xfId="0" applyFont="1" applyFill="1" applyAlignment="1">
      <alignment horizontal="center"/>
    </xf>
    <xf numFmtId="0" fontId="13" fillId="0" borderId="0" xfId="0" applyFont="1" applyAlignment="1" applyProtection="1">
      <alignment wrapText="1"/>
    </xf>
    <xf numFmtId="0" fontId="44" fillId="4" borderId="0" xfId="0" applyFont="1" applyFill="1" applyBorder="1"/>
    <xf numFmtId="1" fontId="31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4" fontId="19" fillId="0" borderId="0" xfId="0" applyNumberFormat="1" applyFont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left" wrapText="1"/>
    </xf>
    <xf numFmtId="164" fontId="18" fillId="0" borderId="0" xfId="0" applyNumberFormat="1" applyFont="1" applyProtection="1"/>
    <xf numFmtId="164" fontId="0" fillId="0" borderId="0" xfId="0" applyNumberFormat="1" applyProtection="1"/>
    <xf numFmtId="164" fontId="13" fillId="0" borderId="0" xfId="0" applyNumberFormat="1" applyFont="1" applyProtection="1"/>
    <xf numFmtId="164" fontId="0" fillId="0" borderId="0" xfId="0" applyNumberFormat="1" applyFill="1" applyBorder="1" applyProtection="1"/>
    <xf numFmtId="164" fontId="16" fillId="0" borderId="0" xfId="0" applyNumberFormat="1" applyFont="1" applyFill="1" applyBorder="1" applyAlignment="1" applyProtection="1">
      <alignment horizontal="center" wrapText="1"/>
    </xf>
    <xf numFmtId="0" fontId="12" fillId="0" borderId="2" xfId="0" applyFont="1" applyBorder="1"/>
    <xf numFmtId="1" fontId="13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0" fontId="41" fillId="0" borderId="0" xfId="1" applyFont="1" applyFill="1" applyBorder="1" applyAlignment="1" applyProtection="1">
      <alignment horizontal="center"/>
    </xf>
    <xf numFmtId="164" fontId="41" fillId="0" borderId="2" xfId="1" applyNumberFormat="1" applyFont="1" applyFill="1" applyBorder="1" applyAlignment="1" applyProtection="1">
      <alignment horizontal="center"/>
    </xf>
    <xf numFmtId="164" fontId="14" fillId="0" borderId="0" xfId="0" applyNumberFormat="1" applyFont="1" applyProtection="1"/>
    <xf numFmtId="164" fontId="57" fillId="0" borderId="0" xfId="0" applyNumberFormat="1" applyFont="1" applyAlignment="1">
      <alignment horizontal="center"/>
    </xf>
    <xf numFmtId="164" fontId="13" fillId="0" borderId="0" xfId="0" applyNumberFormat="1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/>
    </xf>
    <xf numFmtId="164" fontId="12" fillId="0" borderId="0" xfId="0" applyNumberFormat="1" applyFont="1" applyBorder="1" applyAlignment="1" applyProtection="1">
      <alignment horizontal="center"/>
    </xf>
    <xf numFmtId="164" fontId="12" fillId="0" borderId="2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2" fontId="37" fillId="0" borderId="0" xfId="0" applyNumberFormat="1" applyFont="1" applyProtection="1"/>
    <xf numFmtId="0" fontId="24" fillId="0" borderId="0" xfId="0" applyFont="1" applyAlignment="1"/>
    <xf numFmtId="1" fontId="13" fillId="0" borderId="0" xfId="0" applyNumberFormat="1" applyFont="1" applyAlignment="1" applyProtection="1">
      <alignment horizontal="left"/>
    </xf>
    <xf numFmtId="1" fontId="13" fillId="0" borderId="0" xfId="0" applyNumberFormat="1" applyFont="1"/>
    <xf numFmtId="0" fontId="44" fillId="0" borderId="2" xfId="1" applyFont="1" applyFill="1" applyBorder="1" applyAlignment="1" applyProtection="1">
      <alignment horizontal="center"/>
    </xf>
    <xf numFmtId="0" fontId="62" fillId="0" borderId="2" xfId="1" applyFont="1" applyFill="1" applyBorder="1" applyAlignment="1" applyProtection="1">
      <alignment horizontal="center"/>
    </xf>
    <xf numFmtId="0" fontId="62" fillId="0" borderId="2" xfId="1" applyFont="1" applyFill="1" applyBorder="1" applyAlignment="1">
      <alignment horizontal="center"/>
    </xf>
    <xf numFmtId="0" fontId="12" fillId="5" borderId="2" xfId="0" applyFont="1" applyFill="1" applyBorder="1" applyAlignment="1">
      <alignment horizontal="left"/>
    </xf>
    <xf numFmtId="0" fontId="12" fillId="5" borderId="2" xfId="0" applyFont="1" applyFill="1" applyBorder="1" applyAlignment="1">
      <alignment horizontal="center"/>
    </xf>
    <xf numFmtId="1" fontId="12" fillId="5" borderId="2" xfId="0" applyNumberFormat="1" applyFont="1" applyFill="1" applyBorder="1" applyAlignment="1">
      <alignment horizontal="center"/>
    </xf>
    <xf numFmtId="0" fontId="12" fillId="0" borderId="2" xfId="5" applyFont="1" applyBorder="1" applyAlignment="1"/>
    <xf numFmtId="1" fontId="56" fillId="0" borderId="2" xfId="0" applyNumberFormat="1" applyFont="1" applyBorder="1" applyAlignment="1">
      <alignment horizontal="center"/>
    </xf>
    <xf numFmtId="1" fontId="56" fillId="0" borderId="4" xfId="0" applyNumberFormat="1" applyFont="1" applyBorder="1" applyAlignment="1">
      <alignment horizontal="center"/>
    </xf>
    <xf numFmtId="1" fontId="56" fillId="0" borderId="3" xfId="0" applyNumberFormat="1" applyFont="1" applyBorder="1" applyAlignment="1">
      <alignment horizontal="center"/>
    </xf>
    <xf numFmtId="1" fontId="56" fillId="0" borderId="5" xfId="0" applyNumberFormat="1" applyFont="1" applyBorder="1" applyAlignment="1">
      <alignment horizontal="center"/>
    </xf>
    <xf numFmtId="1" fontId="16" fillId="0" borderId="2" xfId="0" applyNumberFormat="1" applyFont="1" applyFill="1" applyBorder="1" applyAlignment="1" applyProtection="1">
      <alignment horizontal="center"/>
    </xf>
    <xf numFmtId="0" fontId="24" fillId="0" borderId="1" xfId="0" applyFont="1" applyBorder="1" applyAlignment="1">
      <alignment horizontal="left"/>
    </xf>
    <xf numFmtId="2" fontId="64" fillId="0" borderId="0" xfId="0" applyNumberFormat="1" applyFont="1" applyAlignment="1">
      <alignment horizontal="center"/>
    </xf>
    <xf numFmtId="164" fontId="64" fillId="0" borderId="0" xfId="0" applyNumberFormat="1" applyFont="1" applyFill="1" applyBorder="1" applyAlignment="1">
      <alignment horizontal="center"/>
    </xf>
    <xf numFmtId="0" fontId="64" fillId="0" borderId="0" xfId="0" applyFont="1" applyAlignment="1" applyProtection="1">
      <alignment horizontal="center"/>
    </xf>
    <xf numFmtId="164" fontId="41" fillId="0" borderId="2" xfId="1" applyNumberFormat="1" applyFont="1" applyFill="1" applyBorder="1" applyAlignment="1">
      <alignment horizontal="center"/>
    </xf>
    <xf numFmtId="0" fontId="65" fillId="0" borderId="0" xfId="0" applyFont="1"/>
    <xf numFmtId="164" fontId="66" fillId="0" borderId="2" xfId="0" applyNumberFormat="1" applyFont="1" applyBorder="1" applyAlignment="1">
      <alignment horizontal="center"/>
    </xf>
    <xf numFmtId="1" fontId="67" fillId="0" borderId="0" xfId="0" applyNumberFormat="1" applyFont="1" applyFill="1" applyAlignment="1">
      <alignment horizontal="center"/>
    </xf>
    <xf numFmtId="164" fontId="51" fillId="0" borderId="0" xfId="0" applyNumberFormat="1" applyFont="1" applyFill="1" applyAlignment="1" applyProtection="1">
      <alignment horizontal="center"/>
    </xf>
    <xf numFmtId="0" fontId="65" fillId="0" borderId="0" xfId="0" applyFont="1" applyAlignment="1">
      <alignment horizontal="left"/>
    </xf>
    <xf numFmtId="164" fontId="66" fillId="0" borderId="2" xfId="0" applyNumberFormat="1" applyFont="1" applyFill="1" applyBorder="1" applyAlignment="1">
      <alignment horizontal="center"/>
    </xf>
    <xf numFmtId="164" fontId="74" fillId="0" borderId="3" xfId="0" applyNumberFormat="1" applyFont="1" applyBorder="1" applyAlignment="1">
      <alignment horizontal="center"/>
    </xf>
    <xf numFmtId="164" fontId="74" fillId="0" borderId="2" xfId="0" applyNumberFormat="1" applyFont="1" applyBorder="1" applyAlignment="1">
      <alignment horizontal="center"/>
    </xf>
    <xf numFmtId="164" fontId="74" fillId="0" borderId="4" xfId="0" applyNumberFormat="1" applyFont="1" applyBorder="1" applyAlignment="1">
      <alignment horizontal="center"/>
    </xf>
    <xf numFmtId="164" fontId="75" fillId="0" borderId="2" xfId="1" applyNumberFormat="1" applyFont="1" applyFill="1" applyBorder="1" applyAlignment="1" applyProtection="1">
      <alignment horizontal="center"/>
    </xf>
    <xf numFmtId="164" fontId="74" fillId="0" borderId="5" xfId="0" applyNumberFormat="1" applyFont="1" applyBorder="1" applyAlignment="1">
      <alignment horizontal="center"/>
    </xf>
    <xf numFmtId="0" fontId="76" fillId="0" borderId="0" xfId="0" applyFont="1" applyFill="1" applyAlignment="1">
      <alignment horizontal="center"/>
    </xf>
    <xf numFmtId="0" fontId="75" fillId="0" borderId="0" xfId="1" applyFont="1" applyFill="1" applyAlignment="1" applyProtection="1">
      <alignment horizontal="center"/>
    </xf>
    <xf numFmtId="0" fontId="57" fillId="0" borderId="6" xfId="0" applyFont="1" applyBorder="1" applyAlignment="1">
      <alignment horizontal="center"/>
    </xf>
    <xf numFmtId="1" fontId="56" fillId="3" borderId="3" xfId="4" applyNumberFormat="1" applyFont="1" applyFill="1" applyBorder="1" applyAlignment="1">
      <alignment horizontal="center"/>
    </xf>
    <xf numFmtId="164" fontId="63" fillId="0" borderId="0" xfId="0" applyNumberFormat="1" applyFont="1" applyFill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left"/>
    </xf>
    <xf numFmtId="164" fontId="17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Alignment="1">
      <alignment horizontal="center"/>
    </xf>
    <xf numFmtId="0" fontId="66" fillId="0" borderId="0" xfId="0" applyFont="1"/>
    <xf numFmtId="0" fontId="51" fillId="0" borderId="0" xfId="0" applyFont="1" applyAlignment="1">
      <alignment horizontal="center"/>
    </xf>
    <xf numFmtId="0" fontId="51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 applyProtection="1">
      <alignment horizontal="center"/>
    </xf>
    <xf numFmtId="0" fontId="0" fillId="0" borderId="0" xfId="0" applyProtection="1"/>
    <xf numFmtId="0" fontId="13" fillId="0" borderId="0" xfId="0" applyFont="1" applyProtection="1"/>
    <xf numFmtId="1" fontId="13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1" fontId="17" fillId="0" borderId="0" xfId="0" applyNumberFormat="1" applyFont="1" applyAlignment="1" applyProtection="1">
      <alignment horizontal="right"/>
    </xf>
    <xf numFmtId="1" fontId="16" fillId="0" borderId="0" xfId="0" applyNumberFormat="1" applyFont="1" applyAlignment="1" applyProtection="1">
      <alignment horizontal="center"/>
    </xf>
    <xf numFmtId="0" fontId="0" fillId="0" borderId="0" xfId="0" applyAlignment="1">
      <alignment vertical="top" wrapText="1"/>
    </xf>
    <xf numFmtId="1" fontId="28" fillId="0" borderId="0" xfId="0" applyNumberFormat="1" applyFont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0" fontId="12" fillId="0" borderId="0" xfId="4" applyFont="1" applyAlignment="1">
      <alignment horizontal="left"/>
    </xf>
    <xf numFmtId="0" fontId="12" fillId="0" borderId="0" xfId="4" applyFont="1" applyAlignment="1">
      <alignment horizontal="left" wrapText="1"/>
    </xf>
    <xf numFmtId="0" fontId="78" fillId="0" borderId="0" xfId="4" applyFont="1" applyAlignment="1">
      <alignment horizontal="left"/>
    </xf>
    <xf numFmtId="0" fontId="41" fillId="0" borderId="2" xfId="1" applyFont="1" applyFill="1" applyBorder="1" applyAlignment="1" applyProtection="1">
      <alignment horizontal="center"/>
    </xf>
    <xf numFmtId="0" fontId="67" fillId="0" borderId="2" xfId="0" applyFont="1" applyBorder="1" applyAlignment="1" applyProtection="1">
      <alignment horizontal="left"/>
    </xf>
    <xf numFmtId="0" fontId="67" fillId="0" borderId="2" xfId="0" applyFont="1" applyBorder="1" applyAlignment="1">
      <alignment horizontal="left"/>
    </xf>
    <xf numFmtId="0" fontId="67" fillId="0" borderId="2" xfId="0" applyFont="1" applyFill="1" applyBorder="1" applyAlignment="1" applyProtection="1">
      <alignment horizontal="left"/>
    </xf>
    <xf numFmtId="0" fontId="67" fillId="0" borderId="2" xfId="0" applyFont="1" applyFill="1" applyBorder="1" applyAlignment="1" applyProtection="1">
      <alignment horizontal="left" wrapText="1"/>
    </xf>
    <xf numFmtId="1" fontId="19" fillId="0" borderId="0" xfId="0" applyNumberFormat="1" applyFont="1"/>
    <xf numFmtId="1" fontId="19" fillId="0" borderId="0" xfId="0" applyNumberFormat="1" applyFont="1" applyProtection="1"/>
    <xf numFmtId="1" fontId="65" fillId="0" borderId="0" xfId="0" applyNumberFormat="1" applyFont="1" applyAlignment="1" applyProtection="1">
      <alignment horizontal="center"/>
    </xf>
    <xf numFmtId="0" fontId="15" fillId="5" borderId="0" xfId="0" applyFont="1" applyFill="1" applyProtection="1"/>
    <xf numFmtId="0" fontId="67" fillId="5" borderId="2" xfId="0" applyFont="1" applyFill="1" applyBorder="1"/>
    <xf numFmtId="0" fontId="12" fillId="0" borderId="0" xfId="0" applyFont="1" applyBorder="1" applyAlignment="1">
      <alignment horizontal="center" wrapText="1"/>
    </xf>
    <xf numFmtId="0" fontId="80" fillId="0" borderId="0" xfId="0" applyFont="1" applyFill="1" applyBorder="1" applyProtection="1"/>
    <xf numFmtId="0" fontId="63" fillId="0" borderId="0" xfId="0" applyFont="1" applyProtection="1"/>
    <xf numFmtId="164" fontId="56" fillId="6" borderId="2" xfId="0" applyNumberFormat="1" applyFont="1" applyFill="1" applyBorder="1" applyAlignment="1">
      <alignment horizontal="center"/>
    </xf>
    <xf numFmtId="164" fontId="56" fillId="6" borderId="3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66" fillId="0" borderId="0" xfId="0" applyNumberFormat="1" applyFont="1" applyFill="1" applyAlignment="1" applyProtection="1">
      <alignment horizontal="center"/>
    </xf>
    <xf numFmtId="164" fontId="64" fillId="0" borderId="2" xfId="0" applyNumberFormat="1" applyFont="1" applyBorder="1" applyAlignment="1">
      <alignment horizontal="center"/>
    </xf>
    <xf numFmtId="164" fontId="63" fillId="0" borderId="0" xfId="0" applyNumberFormat="1" applyFont="1" applyAlignment="1" applyProtection="1">
      <alignment horizontal="center"/>
    </xf>
    <xf numFmtId="0" fontId="0" fillId="5" borderId="0" xfId="0" applyFill="1" applyAlignment="1" applyProtection="1">
      <alignment horizontal="right"/>
    </xf>
    <xf numFmtId="0" fontId="0" fillId="5" borderId="0" xfId="0" applyFill="1"/>
    <xf numFmtId="1" fontId="76" fillId="0" borderId="0" xfId="0" applyNumberFormat="1" applyFont="1" applyAlignment="1" applyProtection="1">
      <alignment horizontal="left"/>
    </xf>
    <xf numFmtId="0" fontId="45" fillId="0" borderId="2" xfId="0" applyFont="1" applyBorder="1" applyAlignment="1"/>
    <xf numFmtId="0" fontId="67" fillId="0" borderId="2" xfId="1" applyFont="1" applyFill="1" applyBorder="1" applyAlignment="1"/>
    <xf numFmtId="0" fontId="64" fillId="0" borderId="0" xfId="0" applyFont="1" applyAlignment="1">
      <alignment horizontal="center" vertical="top" wrapText="1"/>
    </xf>
    <xf numFmtId="2" fontId="12" fillId="0" borderId="2" xfId="4" applyNumberFormat="1" applyFont="1" applyBorder="1" applyAlignment="1">
      <alignment horizontal="center"/>
    </xf>
    <xf numFmtId="1" fontId="12" fillId="0" borderId="7" xfId="4" applyNumberFormat="1" applyFont="1" applyBorder="1" applyAlignment="1">
      <alignment horizontal="center"/>
    </xf>
    <xf numFmtId="1" fontId="12" fillId="0" borderId="7" xfId="0" applyNumberFormat="1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0" fontId="67" fillId="0" borderId="2" xfId="0" applyFont="1" applyBorder="1" applyAlignment="1" applyProtection="1">
      <alignment horizontal="left" wrapText="1"/>
    </xf>
    <xf numFmtId="2" fontId="13" fillId="0" borderId="0" xfId="0" applyNumberFormat="1" applyFont="1" applyAlignment="1" applyProtection="1">
      <alignment horizontal="center"/>
    </xf>
    <xf numFmtId="166" fontId="28" fillId="0" borderId="0" xfId="0" applyNumberFormat="1" applyFont="1" applyAlignment="1" applyProtection="1">
      <alignment horizontal="center"/>
    </xf>
    <xf numFmtId="170" fontId="13" fillId="0" borderId="0" xfId="0" applyNumberFormat="1" applyFont="1" applyAlignment="1" applyProtection="1">
      <alignment horizontal="center"/>
    </xf>
    <xf numFmtId="165" fontId="17" fillId="0" borderId="0" xfId="0" applyNumberFormat="1" applyFont="1" applyFill="1" applyBorder="1" applyAlignment="1" applyProtection="1">
      <alignment horizontal="left"/>
    </xf>
    <xf numFmtId="0" fontId="64" fillId="0" borderId="0" xfId="0" applyFont="1"/>
    <xf numFmtId="0" fontId="0" fillId="5" borderId="2" xfId="0" applyFill="1" applyBorder="1" applyProtection="1"/>
    <xf numFmtId="0" fontId="0" fillId="5" borderId="2" xfId="0" applyFill="1" applyBorder="1" applyAlignment="1" applyProtection="1">
      <alignment horizontal="center"/>
    </xf>
    <xf numFmtId="0" fontId="13" fillId="5" borderId="2" xfId="0" applyFont="1" applyFill="1" applyBorder="1" applyProtection="1"/>
    <xf numFmtId="0" fontId="15" fillId="5" borderId="2" xfId="0" applyFont="1" applyFill="1" applyBorder="1" applyProtection="1"/>
    <xf numFmtId="1" fontId="0" fillId="5" borderId="2" xfId="0" applyNumberFormat="1" applyFill="1" applyBorder="1" applyProtection="1"/>
    <xf numFmtId="0" fontId="13" fillId="5" borderId="2" xfId="0" applyFont="1" applyFill="1" applyBorder="1" applyAlignment="1" applyProtection="1">
      <alignment horizontal="center"/>
    </xf>
    <xf numFmtId="0" fontId="0" fillId="0" borderId="2" xfId="0" applyBorder="1"/>
    <xf numFmtId="1" fontId="13" fillId="5" borderId="2" xfId="0" applyNumberFormat="1" applyFont="1" applyFill="1" applyBorder="1" applyAlignment="1" applyProtection="1">
      <alignment horizontal="center"/>
    </xf>
    <xf numFmtId="0" fontId="20" fillId="0" borderId="2" xfId="0" applyFont="1" applyBorder="1"/>
    <xf numFmtId="0" fontId="13" fillId="5" borderId="2" xfId="0" applyFont="1" applyFill="1" applyBorder="1" applyAlignment="1" applyProtection="1">
      <alignment horizontal="center" wrapText="1"/>
    </xf>
    <xf numFmtId="0" fontId="13" fillId="5" borderId="2" xfId="0" applyFont="1" applyFill="1" applyBorder="1" applyAlignment="1">
      <alignment horizontal="center"/>
    </xf>
    <xf numFmtId="0" fontId="13" fillId="0" borderId="2" xfId="0" applyFont="1" applyBorder="1" applyAlignment="1" applyProtection="1">
      <alignment horizontal="center"/>
    </xf>
    <xf numFmtId="164" fontId="66" fillId="5" borderId="2" xfId="0" applyNumberFormat="1" applyFont="1" applyFill="1" applyBorder="1" applyAlignment="1" applyProtection="1">
      <alignment horizontal="center"/>
    </xf>
    <xf numFmtId="1" fontId="66" fillId="5" borderId="2" xfId="0" applyNumberFormat="1" applyFont="1" applyFill="1" applyBorder="1" applyAlignment="1">
      <alignment horizontal="center"/>
    </xf>
    <xf numFmtId="164" fontId="66" fillId="0" borderId="2" xfId="0" applyNumberFormat="1" applyFont="1" applyBorder="1" applyAlignment="1">
      <alignment horizontal="right" indent="3"/>
    </xf>
    <xf numFmtId="0" fontId="15" fillId="0" borderId="0" xfId="0" applyFont="1" applyAlignment="1">
      <alignment wrapText="1"/>
    </xf>
    <xf numFmtId="1" fontId="15" fillId="0" borderId="0" xfId="0" applyNumberFormat="1" applyFont="1" applyAlignment="1" applyProtection="1">
      <alignment horizontal="center" wrapText="1"/>
    </xf>
    <xf numFmtId="0" fontId="15" fillId="0" borderId="0" xfId="0" applyFont="1" applyAlignment="1" applyProtection="1">
      <alignment wrapText="1"/>
    </xf>
    <xf numFmtId="1" fontId="15" fillId="0" borderId="0" xfId="0" applyNumberFormat="1" applyFont="1" applyAlignment="1" applyProtection="1">
      <alignment wrapText="1"/>
    </xf>
    <xf numFmtId="0" fontId="15" fillId="0" borderId="0" xfId="0" applyFont="1" applyAlignment="1" applyProtection="1">
      <alignment horizontal="center" wrapText="1"/>
    </xf>
    <xf numFmtId="0" fontId="67" fillId="0" borderId="0" xfId="0" applyFont="1" applyFill="1" applyBorder="1" applyAlignment="1" applyProtection="1">
      <alignment horizontal="left" wrapText="1"/>
    </xf>
    <xf numFmtId="0" fontId="82" fillId="0" borderId="0" xfId="0" applyFont="1" applyBorder="1" applyAlignment="1">
      <alignment wrapText="1"/>
    </xf>
    <xf numFmtId="0" fontId="82" fillId="0" borderId="0" xfId="0" applyFont="1" applyBorder="1" applyAlignment="1">
      <alignment horizontal="left" wrapText="1"/>
    </xf>
    <xf numFmtId="0" fontId="65" fillId="0" borderId="0" xfId="0" applyFont="1" applyAlignment="1">
      <alignment horizontal="left" wrapText="1"/>
    </xf>
    <xf numFmtId="0" fontId="63" fillId="0" borderId="0" xfId="0" applyFont="1" applyAlignment="1">
      <alignment horizontal="left"/>
    </xf>
    <xf numFmtId="0" fontId="63" fillId="0" borderId="0" xfId="0" applyFont="1" applyFill="1" applyAlignment="1">
      <alignment wrapText="1"/>
    </xf>
    <xf numFmtId="0" fontId="83" fillId="0" borderId="0" xfId="0" applyFont="1" applyAlignment="1" applyProtection="1">
      <alignment wrapText="1"/>
    </xf>
    <xf numFmtId="0" fontId="63" fillId="0" borderId="0" xfId="0" applyFont="1" applyAlignment="1">
      <alignment wrapText="1"/>
    </xf>
    <xf numFmtId="0" fontId="63" fillId="0" borderId="0" xfId="0" applyFont="1" applyFill="1"/>
    <xf numFmtId="0" fontId="36" fillId="0" borderId="0" xfId="0" applyFont="1" applyFill="1" applyBorder="1" applyAlignment="1" applyProtection="1">
      <alignment horizontal="center" wrapText="1"/>
    </xf>
    <xf numFmtId="1" fontId="84" fillId="3" borderId="3" xfId="4" applyNumberFormat="1" applyFont="1" applyFill="1" applyBorder="1" applyAlignment="1">
      <alignment horizontal="center"/>
    </xf>
    <xf numFmtId="2" fontId="85" fillId="0" borderId="0" xfId="0" applyNumberFormat="1" applyFont="1" applyAlignment="1">
      <alignment horizontal="center"/>
    </xf>
    <xf numFmtId="0" fontId="86" fillId="0" borderId="0" xfId="0" applyFont="1" applyBorder="1" applyAlignment="1">
      <alignment wrapText="1"/>
    </xf>
    <xf numFmtId="1" fontId="66" fillId="5" borderId="2" xfId="0" applyNumberFormat="1" applyFont="1" applyFill="1" applyBorder="1" applyAlignment="1" applyProtection="1">
      <alignment horizontal="center"/>
    </xf>
    <xf numFmtId="0" fontId="65" fillId="0" borderId="0" xfId="0" applyFont="1" applyAlignment="1">
      <alignment wrapText="1"/>
    </xf>
    <xf numFmtId="0" fontId="3" fillId="0" borderId="0" xfId="40"/>
    <xf numFmtId="0" fontId="3" fillId="0" borderId="0" xfId="40"/>
    <xf numFmtId="1" fontId="0" fillId="0" borderId="7" xfId="0" applyNumberFormat="1" applyBorder="1" applyAlignment="1">
      <alignment horizontal="center"/>
    </xf>
    <xf numFmtId="1" fontId="12" fillId="0" borderId="8" xfId="0" applyNumberFormat="1" applyFont="1" applyBorder="1" applyAlignment="1">
      <alignment horizontal="center"/>
    </xf>
    <xf numFmtId="1" fontId="12" fillId="0" borderId="4" xfId="0" applyNumberFormat="1" applyFont="1" applyBorder="1" applyAlignment="1">
      <alignment horizontal="center"/>
    </xf>
    <xf numFmtId="1" fontId="12" fillId="0" borderId="9" xfId="0" applyNumberFormat="1" applyFont="1" applyBorder="1" applyAlignment="1">
      <alignment horizontal="center"/>
    </xf>
    <xf numFmtId="2" fontId="12" fillId="0" borderId="2" xfId="4" applyNumberFormat="1" applyFont="1" applyFill="1" applyBorder="1" applyAlignment="1" applyProtection="1">
      <alignment horizontal="center"/>
    </xf>
    <xf numFmtId="0" fontId="76" fillId="0" borderId="2" xfId="0" applyFont="1" applyFill="1" applyBorder="1" applyProtection="1"/>
    <xf numFmtId="0" fontId="64" fillId="0" borderId="2" xfId="0" applyFont="1" applyFill="1" applyBorder="1" applyAlignment="1" applyProtection="1">
      <alignment horizontal="center"/>
    </xf>
    <xf numFmtId="0" fontId="64" fillId="0" borderId="2" xfId="0" applyFont="1" applyBorder="1" applyAlignment="1" applyProtection="1">
      <alignment horizontal="center"/>
    </xf>
    <xf numFmtId="0" fontId="64" fillId="0" borderId="2" xfId="0" applyFont="1" applyBorder="1" applyProtection="1"/>
    <xf numFmtId="1" fontId="0" fillId="0" borderId="10" xfId="0" applyNumberFormat="1" applyBorder="1" applyAlignment="1" applyProtection="1">
      <alignment horizontal="center"/>
    </xf>
    <xf numFmtId="1" fontId="0" fillId="0" borderId="11" xfId="0" applyNumberFormat="1" applyBorder="1" applyAlignment="1" applyProtection="1">
      <alignment horizontal="center"/>
    </xf>
    <xf numFmtId="1" fontId="12" fillId="0" borderId="11" xfId="0" applyNumberFormat="1" applyFont="1" applyBorder="1" applyAlignment="1" applyProtection="1">
      <alignment horizontal="center"/>
    </xf>
    <xf numFmtId="1" fontId="13" fillId="0" borderId="12" xfId="0" applyNumberFormat="1" applyFont="1" applyBorder="1" applyAlignment="1">
      <alignment horizontal="center"/>
    </xf>
    <xf numFmtId="1" fontId="12" fillId="0" borderId="2" xfId="4" applyNumberFormat="1" applyFont="1" applyFill="1" applyBorder="1" applyAlignment="1" applyProtection="1">
      <alignment horizontal="center"/>
    </xf>
    <xf numFmtId="164" fontId="66" fillId="5" borderId="2" xfId="0" applyNumberFormat="1" applyFont="1" applyFill="1" applyBorder="1" applyAlignment="1">
      <alignment horizontal="center"/>
    </xf>
    <xf numFmtId="164" fontId="12" fillId="5" borderId="2" xfId="0" applyNumberFormat="1" applyFont="1" applyFill="1" applyBorder="1" applyAlignment="1" applyProtection="1">
      <alignment horizontal="center"/>
    </xf>
    <xf numFmtId="2" fontId="12" fillId="0" borderId="0" xfId="4" applyNumberFormat="1"/>
    <xf numFmtId="0" fontId="12" fillId="0" borderId="0" xfId="4"/>
    <xf numFmtId="0" fontId="16" fillId="0" borderId="0" xfId="4" applyFont="1" applyFill="1" applyBorder="1" applyProtection="1"/>
    <xf numFmtId="0" fontId="17" fillId="0" borderId="0" xfId="4" applyFont="1" applyProtection="1"/>
    <xf numFmtId="0" fontId="16" fillId="0" borderId="0" xfId="4" applyFont="1" applyFill="1" applyBorder="1" applyAlignment="1" applyProtection="1">
      <alignment horizontal="center"/>
    </xf>
    <xf numFmtId="0" fontId="17" fillId="0" borderId="0" xfId="4" applyFont="1" applyFill="1" applyBorder="1" applyProtection="1"/>
    <xf numFmtId="0" fontId="17" fillId="0" borderId="0" xfId="4" applyFont="1" applyAlignment="1" applyProtection="1">
      <alignment horizontal="center"/>
    </xf>
    <xf numFmtId="0" fontId="16" fillId="0" borderId="0" xfId="4" applyFont="1" applyFill="1" applyBorder="1" applyAlignment="1" applyProtection="1">
      <alignment horizontal="center" wrapText="1"/>
    </xf>
    <xf numFmtId="2" fontId="22" fillId="0" borderId="0" xfId="4" applyNumberFormat="1" applyFont="1" applyFill="1" applyBorder="1" applyAlignment="1" applyProtection="1">
      <alignment horizontal="center"/>
    </xf>
    <xf numFmtId="0" fontId="16" fillId="0" borderId="0" xfId="4" applyFont="1" applyFill="1" applyBorder="1" applyAlignment="1" applyProtection="1">
      <alignment horizontal="left"/>
    </xf>
    <xf numFmtId="2" fontId="17" fillId="0" borderId="0" xfId="4" applyNumberFormat="1" applyFont="1" applyFill="1" applyBorder="1" applyAlignment="1" applyProtection="1">
      <alignment horizontal="center"/>
    </xf>
    <xf numFmtId="2" fontId="13" fillId="0" borderId="0" xfId="4" applyNumberFormat="1" applyFont="1" applyFill="1" applyBorder="1" applyAlignment="1" applyProtection="1">
      <alignment horizontal="left"/>
    </xf>
    <xf numFmtId="0" fontId="12" fillId="0" borderId="0" xfId="4" applyAlignment="1">
      <alignment horizontal="left"/>
    </xf>
    <xf numFmtId="0" fontId="32" fillId="0" borderId="0" xfId="4" applyFont="1" applyAlignment="1">
      <alignment horizontal="left"/>
    </xf>
    <xf numFmtId="164" fontId="24" fillId="0" borderId="2" xfId="4" applyNumberFormat="1" applyFont="1" applyBorder="1" applyAlignment="1">
      <alignment horizontal="center"/>
    </xf>
    <xf numFmtId="2" fontId="17" fillId="0" borderId="0" xfId="4" applyNumberFormat="1" applyFont="1" applyProtection="1"/>
    <xf numFmtId="164" fontId="12" fillId="0" borderId="2" xfId="4" applyNumberFormat="1" applyFont="1" applyBorder="1" applyAlignment="1">
      <alignment horizontal="left"/>
    </xf>
    <xf numFmtId="164" fontId="37" fillId="0" borderId="2" xfId="4" applyNumberFormat="1" applyFont="1" applyBorder="1" applyAlignment="1">
      <alignment horizontal="center"/>
    </xf>
    <xf numFmtId="1" fontId="12" fillId="0" borderId="2" xfId="4" applyNumberFormat="1" applyFont="1" applyFill="1" applyBorder="1" applyAlignment="1" applyProtection="1">
      <alignment horizontal="center"/>
    </xf>
    <xf numFmtId="0" fontId="17" fillId="0" borderId="0" xfId="4" applyNumberFormat="1" applyFont="1" applyProtection="1"/>
    <xf numFmtId="0" fontId="17" fillId="0" borderId="0" xfId="4" applyNumberFormat="1" applyFont="1" applyFill="1" applyBorder="1" applyProtection="1"/>
    <xf numFmtId="0" fontId="16" fillId="0" borderId="0" xfId="4" applyNumberFormat="1" applyFont="1" applyFill="1" applyBorder="1" applyAlignment="1" applyProtection="1">
      <alignment horizontal="center"/>
    </xf>
    <xf numFmtId="0" fontId="22" fillId="0" borderId="0" xfId="4" applyNumberFormat="1" applyFont="1" applyFill="1" applyBorder="1" applyAlignment="1" applyProtection="1">
      <alignment horizontal="center"/>
    </xf>
    <xf numFmtId="166" fontId="17" fillId="0" borderId="0" xfId="4" applyNumberFormat="1" applyFont="1" applyProtection="1"/>
    <xf numFmtId="164" fontId="50" fillId="0" borderId="2" xfId="1" applyNumberFormat="1" applyFont="1" applyFill="1" applyBorder="1" applyAlignment="1" applyProtection="1">
      <alignment horizontal="center"/>
    </xf>
    <xf numFmtId="2" fontId="32" fillId="0" borderId="0" xfId="4" applyNumberFormat="1" applyFont="1" applyAlignment="1"/>
    <xf numFmtId="2" fontId="33" fillId="0" borderId="0" xfId="4" applyNumberFormat="1" applyFont="1" applyAlignment="1"/>
    <xf numFmtId="164" fontId="12" fillId="0" borderId="2" xfId="4" applyNumberFormat="1" applyFont="1" applyBorder="1" applyAlignment="1">
      <alignment horizontal="center"/>
    </xf>
    <xf numFmtId="0" fontId="57" fillId="0" borderId="0" xfId="4" applyFont="1" applyAlignment="1">
      <alignment horizontal="center" wrapText="1"/>
    </xf>
    <xf numFmtId="0" fontId="57" fillId="0" borderId="0" xfId="4" applyFont="1" applyAlignment="1">
      <alignment horizontal="center" vertical="center"/>
    </xf>
    <xf numFmtId="167" fontId="58" fillId="0" borderId="0" xfId="4" applyNumberFormat="1" applyFont="1" applyAlignment="1">
      <alignment horizontal="center"/>
    </xf>
    <xf numFmtId="164" fontId="58" fillId="0" borderId="0" xfId="4" applyNumberFormat="1" applyFont="1" applyAlignment="1">
      <alignment horizontal="center"/>
    </xf>
    <xf numFmtId="2" fontId="59" fillId="0" borderId="0" xfId="4" applyNumberFormat="1" applyFont="1" applyAlignment="1">
      <alignment horizontal="center"/>
    </xf>
    <xf numFmtId="164" fontId="41" fillId="0" borderId="2" xfId="1" applyNumberFormat="1" applyFont="1" applyFill="1" applyBorder="1" applyAlignment="1" applyProtection="1">
      <alignment horizontal="center"/>
    </xf>
    <xf numFmtId="2" fontId="13" fillId="0" borderId="2" xfId="4" applyNumberFormat="1" applyFont="1" applyFill="1" applyBorder="1" applyAlignment="1" applyProtection="1">
      <alignment horizontal="center"/>
    </xf>
    <xf numFmtId="0" fontId="16" fillId="0" borderId="0" xfId="4" applyNumberFormat="1" applyFont="1" applyFill="1" applyBorder="1" applyAlignment="1" applyProtection="1">
      <alignment horizontal="center" wrapText="1"/>
    </xf>
    <xf numFmtId="2" fontId="17" fillId="0" borderId="0" xfId="4" applyNumberFormat="1" applyFont="1" applyFill="1" applyBorder="1" applyProtection="1"/>
    <xf numFmtId="170" fontId="37" fillId="0" borderId="3" xfId="4" applyNumberFormat="1" applyFont="1" applyBorder="1" applyAlignment="1">
      <alignment horizontal="center" vertical="center"/>
    </xf>
    <xf numFmtId="2" fontId="17" fillId="0" borderId="0" xfId="4" applyNumberFormat="1" applyFont="1" applyFill="1" applyBorder="1" applyAlignment="1" applyProtection="1">
      <alignment horizontal="center"/>
    </xf>
    <xf numFmtId="1" fontId="12" fillId="0" borderId="2" xfId="4" applyNumberFormat="1" applyFont="1" applyFill="1" applyBorder="1" applyAlignment="1" applyProtection="1">
      <alignment horizontal="center"/>
    </xf>
    <xf numFmtId="164" fontId="50" fillId="0" borderId="2" xfId="1" applyNumberFormat="1" applyFont="1" applyFill="1" applyBorder="1" applyAlignment="1" applyProtection="1">
      <alignment horizontal="center"/>
    </xf>
    <xf numFmtId="2" fontId="32" fillId="0" borderId="0" xfId="4" applyNumberFormat="1" applyFont="1" applyAlignment="1"/>
    <xf numFmtId="164" fontId="41" fillId="0" borderId="2" xfId="1" applyNumberFormat="1" applyFont="1" applyFill="1" applyBorder="1" applyAlignment="1" applyProtection="1">
      <alignment horizontal="center"/>
    </xf>
    <xf numFmtId="2" fontId="37" fillId="3" borderId="3" xfId="4" applyNumberFormat="1" applyFont="1" applyFill="1" applyBorder="1" applyAlignment="1">
      <alignment horizontal="center" vertical="center"/>
    </xf>
    <xf numFmtId="166" fontId="37" fillId="0" borderId="5" xfId="4" applyNumberFormat="1" applyFont="1" applyBorder="1" applyAlignment="1">
      <alignment horizontal="center" vertical="center"/>
    </xf>
    <xf numFmtId="2" fontId="12" fillId="3" borderId="2" xfId="4" applyNumberFormat="1" applyFont="1" applyFill="1" applyBorder="1" applyAlignment="1">
      <alignment horizontal="center" vertical="center"/>
    </xf>
    <xf numFmtId="2" fontId="12" fillId="3" borderId="3" xfId="4" applyNumberFormat="1" applyFont="1" applyFill="1" applyBorder="1" applyAlignment="1">
      <alignment horizontal="center" vertical="center"/>
    </xf>
    <xf numFmtId="170" fontId="12" fillId="0" borderId="2" xfId="4" applyNumberFormat="1" applyFont="1" applyBorder="1" applyAlignment="1">
      <alignment horizontal="center" vertical="center"/>
    </xf>
    <xf numFmtId="166" fontId="12" fillId="0" borderId="4" xfId="4" applyNumberFormat="1" applyFont="1" applyBorder="1" applyAlignment="1">
      <alignment horizontal="center" vertical="center"/>
    </xf>
    <xf numFmtId="170" fontId="12" fillId="0" borderId="3" xfId="4" applyNumberFormat="1" applyFont="1" applyBorder="1" applyAlignment="1">
      <alignment horizontal="center" vertical="center"/>
    </xf>
    <xf numFmtId="166" fontId="12" fillId="0" borderId="5" xfId="4" applyNumberFormat="1" applyFont="1" applyBorder="1" applyAlignment="1">
      <alignment horizontal="center" vertical="center"/>
    </xf>
    <xf numFmtId="44" fontId="13" fillId="0" borderId="0" xfId="6" applyFont="1" applyAlignment="1">
      <alignment horizontal="right"/>
    </xf>
    <xf numFmtId="0" fontId="1" fillId="0" borderId="0" xfId="40" applyFont="1"/>
    <xf numFmtId="164" fontId="12" fillId="0" borderId="2" xfId="4" applyNumberFormat="1" applyFont="1" applyBorder="1" applyAlignment="1">
      <alignment horizontal="center"/>
    </xf>
    <xf numFmtId="164" fontId="12" fillId="0" borderId="4" xfId="4" applyNumberFormat="1" applyFont="1" applyBorder="1" applyAlignment="1">
      <alignment horizontal="center"/>
    </xf>
    <xf numFmtId="164" fontId="12" fillId="0" borderId="3" xfId="4" applyNumberFormat="1" applyFont="1" applyBorder="1" applyAlignment="1">
      <alignment horizontal="center"/>
    </xf>
    <xf numFmtId="164" fontId="12" fillId="0" borderId="5" xfId="4" applyNumberFormat="1" applyFont="1" applyBorder="1" applyAlignment="1">
      <alignment horizontal="center"/>
    </xf>
    <xf numFmtId="0" fontId="13" fillId="0" borderId="0" xfId="0" applyFont="1" applyFill="1" applyBorder="1"/>
    <xf numFmtId="0" fontId="67" fillId="0" borderId="2" xfId="0" applyFont="1" applyBorder="1" applyAlignment="1">
      <alignment horizontal="left" wrapText="1"/>
    </xf>
    <xf numFmtId="1" fontId="13" fillId="0" borderId="0" xfId="0" applyNumberFormat="1" applyFont="1" applyBorder="1" applyAlignment="1" applyProtection="1">
      <alignment horizontal="right"/>
    </xf>
    <xf numFmtId="164" fontId="13" fillId="0" borderId="2" xfId="0" applyNumberFormat="1" applyFont="1" applyFill="1" applyBorder="1" applyAlignment="1" applyProtection="1">
      <alignment horizontal="center"/>
    </xf>
    <xf numFmtId="0" fontId="63" fillId="0" borderId="0" xfId="0" applyFont="1" applyAlignment="1" applyProtection="1">
      <alignment wrapText="1"/>
    </xf>
    <xf numFmtId="0" fontId="67" fillId="0" borderId="2" xfId="3" applyFont="1" applyBorder="1" applyAlignment="1">
      <alignment wrapText="1"/>
    </xf>
    <xf numFmtId="0" fontId="51" fillId="0" borderId="0" xfId="3" applyFont="1" applyBorder="1" applyAlignment="1">
      <alignment horizontal="left"/>
    </xf>
    <xf numFmtId="0" fontId="67" fillId="0" borderId="2" xfId="3" applyFont="1" applyBorder="1" applyAlignment="1">
      <alignment horizontal="left" wrapText="1"/>
    </xf>
    <xf numFmtId="49" fontId="67" fillId="0" borderId="2" xfId="1" applyNumberFormat="1" applyFont="1" applyFill="1" applyBorder="1" applyAlignment="1"/>
    <xf numFmtId="0" fontId="67" fillId="0" borderId="2" xfId="1" applyFont="1" applyFill="1" applyBorder="1" applyAlignment="1"/>
    <xf numFmtId="0" fontId="67" fillId="0" borderId="2" xfId="3" applyFont="1" applyBorder="1" applyAlignment="1"/>
    <xf numFmtId="0" fontId="67" fillId="0" borderId="2" xfId="3" applyFont="1" applyBorder="1" applyAlignment="1">
      <alignment horizontal="left"/>
    </xf>
    <xf numFmtId="49" fontId="67" fillId="0" borderId="2" xfId="3" applyNumberFormat="1" applyFont="1" applyBorder="1" applyAlignment="1">
      <alignment wrapText="1"/>
    </xf>
    <xf numFmtId="0" fontId="79" fillId="5" borderId="11" xfId="0" applyFont="1" applyFill="1" applyBorder="1" applyAlignment="1">
      <alignment horizontal="left"/>
    </xf>
    <xf numFmtId="0" fontId="79" fillId="5" borderId="13" xfId="0" applyFont="1" applyFill="1" applyBorder="1" applyAlignment="1">
      <alignment horizontal="left"/>
    </xf>
    <xf numFmtId="0" fontId="79" fillId="5" borderId="4" xfId="0" applyFont="1" applyFill="1" applyBorder="1" applyAlignment="1">
      <alignment horizontal="left"/>
    </xf>
    <xf numFmtId="0" fontId="67" fillId="0" borderId="11" xfId="0" applyFont="1" applyBorder="1" applyAlignment="1">
      <alignment horizontal="left"/>
    </xf>
    <xf numFmtId="0" fontId="67" fillId="0" borderId="13" xfId="0" applyFont="1" applyBorder="1" applyAlignment="1">
      <alignment horizontal="left"/>
    </xf>
    <xf numFmtId="0" fontId="67" fillId="0" borderId="4" xfId="0" applyFont="1" applyBorder="1" applyAlignment="1">
      <alignment horizontal="left"/>
    </xf>
    <xf numFmtId="0" fontId="67" fillId="0" borderId="11" xfId="1" applyFont="1" applyFill="1" applyBorder="1" applyAlignment="1">
      <alignment horizontal="left"/>
    </xf>
    <xf numFmtId="0" fontId="67" fillId="0" borderId="13" xfId="1" applyFont="1" applyFill="1" applyBorder="1" applyAlignment="1">
      <alignment horizontal="left"/>
    </xf>
    <xf numFmtId="0" fontId="67" fillId="0" borderId="4" xfId="1" applyFont="1" applyFill="1" applyBorder="1" applyAlignment="1">
      <alignment horizontal="left"/>
    </xf>
    <xf numFmtId="0" fontId="87" fillId="0" borderId="11" xfId="1" applyFont="1" applyFill="1" applyBorder="1" applyAlignment="1">
      <alignment horizontal="left"/>
    </xf>
    <xf numFmtId="0" fontId="87" fillId="0" borderId="13" xfId="1" applyFont="1" applyFill="1" applyBorder="1" applyAlignment="1">
      <alignment horizontal="left"/>
    </xf>
    <xf numFmtId="0" fontId="87" fillId="0" borderId="4" xfId="1" applyFont="1" applyFill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64" fillId="0" borderId="0" xfId="0" applyFont="1" applyAlignment="1">
      <alignment vertical="top" wrapText="1"/>
    </xf>
    <xf numFmtId="0" fontId="70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65" fillId="0" borderId="0" xfId="0" applyFont="1" applyAlignment="1">
      <alignment horizontal="center" vertical="top" wrapText="1"/>
    </xf>
    <xf numFmtId="0" fontId="64" fillId="0" borderId="0" xfId="0" applyFont="1" applyAlignment="1">
      <alignment horizontal="center" vertical="top" wrapText="1"/>
    </xf>
    <xf numFmtId="0" fontId="72" fillId="0" borderId="0" xfId="0" applyFont="1" applyAlignment="1">
      <alignment horizontal="center" vertical="top" wrapText="1"/>
    </xf>
    <xf numFmtId="0" fontId="73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63" fillId="0" borderId="0" xfId="0" applyFont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horizontal="left"/>
    </xf>
  </cellXfs>
  <cellStyles count="105">
    <cellStyle name="Bad" xfId="1" builtinId="27"/>
    <cellStyle name="Currency" xfId="2" builtinId="4"/>
    <cellStyle name="Currency 2" xfId="6"/>
    <cellStyle name="Hyperlink" xfId="5" builtinId="8"/>
    <cellStyle name="Hyperlink 2" xfId="19"/>
    <cellStyle name="Hyperlink 2 2" xfId="36"/>
    <cellStyle name="Normal" xfId="0" builtinId="0"/>
    <cellStyle name="Normal 2" xfId="3"/>
    <cellStyle name="Normal 2 10" xfId="73"/>
    <cellStyle name="Normal 2 2" xfId="7"/>
    <cellStyle name="Normal 2 2 2" xfId="11"/>
    <cellStyle name="Normal 2 2 2 2" xfId="28"/>
    <cellStyle name="Normal 2 2 2 2 2" xfId="62"/>
    <cellStyle name="Normal 2 2 2 2 3" xfId="94"/>
    <cellStyle name="Normal 2 2 2 3" xfId="46"/>
    <cellStyle name="Normal 2 2 2 4" xfId="78"/>
    <cellStyle name="Normal 2 2 3" xfId="15"/>
    <cellStyle name="Normal 2 2 3 2" xfId="32"/>
    <cellStyle name="Normal 2 2 3 2 2" xfId="66"/>
    <cellStyle name="Normal 2 2 3 2 3" xfId="98"/>
    <cellStyle name="Normal 2 2 3 3" xfId="50"/>
    <cellStyle name="Normal 2 2 3 4" xfId="82"/>
    <cellStyle name="Normal 2 2 4" xfId="20"/>
    <cellStyle name="Normal 2 2 4 2" xfId="37"/>
    <cellStyle name="Normal 2 2 4 2 2" xfId="70"/>
    <cellStyle name="Normal 2 2 4 2 3" xfId="102"/>
    <cellStyle name="Normal 2 2 4 3" xfId="54"/>
    <cellStyle name="Normal 2 2 4 4" xfId="86"/>
    <cellStyle name="Normal 2 2 5" xfId="24"/>
    <cellStyle name="Normal 2 2 5 2" xfId="58"/>
    <cellStyle name="Normal 2 2 5 3" xfId="90"/>
    <cellStyle name="Normal 2 2 6" xfId="42"/>
    <cellStyle name="Normal 2 2 7" xfId="74"/>
    <cellStyle name="Normal 2 3" xfId="8"/>
    <cellStyle name="Normal 2 3 2" xfId="12"/>
    <cellStyle name="Normal 2 3 2 2" xfId="29"/>
    <cellStyle name="Normal 2 3 2 2 2" xfId="63"/>
    <cellStyle name="Normal 2 3 2 2 3" xfId="95"/>
    <cellStyle name="Normal 2 3 2 3" xfId="47"/>
    <cellStyle name="Normal 2 3 2 4" xfId="79"/>
    <cellStyle name="Normal 2 3 3" xfId="16"/>
    <cellStyle name="Normal 2 3 3 2" xfId="33"/>
    <cellStyle name="Normal 2 3 3 2 2" xfId="67"/>
    <cellStyle name="Normal 2 3 3 2 3" xfId="99"/>
    <cellStyle name="Normal 2 3 3 3" xfId="51"/>
    <cellStyle name="Normal 2 3 3 4" xfId="83"/>
    <cellStyle name="Normal 2 3 4" xfId="21"/>
    <cellStyle name="Normal 2 3 4 2" xfId="38"/>
    <cellStyle name="Normal 2 3 4 2 2" xfId="71"/>
    <cellStyle name="Normal 2 3 4 2 3" xfId="103"/>
    <cellStyle name="Normal 2 3 4 3" xfId="55"/>
    <cellStyle name="Normal 2 3 4 4" xfId="87"/>
    <cellStyle name="Normal 2 3 5" xfId="25"/>
    <cellStyle name="Normal 2 3 5 2" xfId="59"/>
    <cellStyle name="Normal 2 3 5 3" xfId="91"/>
    <cellStyle name="Normal 2 3 6" xfId="43"/>
    <cellStyle name="Normal 2 3 7" xfId="75"/>
    <cellStyle name="Normal 2 4" xfId="9"/>
    <cellStyle name="Normal 2 4 2" xfId="13"/>
    <cellStyle name="Normal 2 4 2 2" xfId="30"/>
    <cellStyle name="Normal 2 4 2 2 2" xfId="64"/>
    <cellStyle name="Normal 2 4 2 2 3" xfId="96"/>
    <cellStyle name="Normal 2 4 2 3" xfId="48"/>
    <cellStyle name="Normal 2 4 2 4" xfId="80"/>
    <cellStyle name="Normal 2 4 3" xfId="17"/>
    <cellStyle name="Normal 2 4 3 2" xfId="34"/>
    <cellStyle name="Normal 2 4 3 2 2" xfId="68"/>
    <cellStyle name="Normal 2 4 3 2 3" xfId="100"/>
    <cellStyle name="Normal 2 4 3 3" xfId="52"/>
    <cellStyle name="Normal 2 4 3 4" xfId="84"/>
    <cellStyle name="Normal 2 4 4" xfId="22"/>
    <cellStyle name="Normal 2 4 4 2" xfId="39"/>
    <cellStyle name="Normal 2 4 4 2 2" xfId="72"/>
    <cellStyle name="Normal 2 4 4 2 3" xfId="104"/>
    <cellStyle name="Normal 2 4 4 3" xfId="56"/>
    <cellStyle name="Normal 2 4 4 4" xfId="88"/>
    <cellStyle name="Normal 2 4 5" xfId="26"/>
    <cellStyle name="Normal 2 4 5 2" xfId="60"/>
    <cellStyle name="Normal 2 4 5 3" xfId="92"/>
    <cellStyle name="Normal 2 4 6" xfId="44"/>
    <cellStyle name="Normal 2 4 7" xfId="76"/>
    <cellStyle name="Normal 2 5" xfId="10"/>
    <cellStyle name="Normal 2 5 2" xfId="27"/>
    <cellStyle name="Normal 2 5 2 2" xfId="61"/>
    <cellStyle name="Normal 2 5 2 3" xfId="93"/>
    <cellStyle name="Normal 2 5 3" xfId="45"/>
    <cellStyle name="Normal 2 5 4" xfId="77"/>
    <cellStyle name="Normal 2 6" xfId="14"/>
    <cellStyle name="Normal 2 6 2" xfId="31"/>
    <cellStyle name="Normal 2 6 2 2" xfId="65"/>
    <cellStyle name="Normal 2 6 2 3" xfId="97"/>
    <cellStyle name="Normal 2 6 3" xfId="49"/>
    <cellStyle name="Normal 2 6 4" xfId="81"/>
    <cellStyle name="Normal 2 7" xfId="18"/>
    <cellStyle name="Normal 2 7 2" xfId="35"/>
    <cellStyle name="Normal 2 7 2 2" xfId="69"/>
    <cellStyle name="Normal 2 7 2 3" xfId="101"/>
    <cellStyle name="Normal 2 7 3" xfId="53"/>
    <cellStyle name="Normal 2 7 4" xfId="85"/>
    <cellStyle name="Normal 2 8" xfId="23"/>
    <cellStyle name="Normal 2 8 2" xfId="57"/>
    <cellStyle name="Normal 2 8 3" xfId="89"/>
    <cellStyle name="Normal 2 9" xfId="41"/>
    <cellStyle name="Normal 3" xfId="4"/>
    <cellStyle name="Normal 4" xfId="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34</xdr:row>
      <xdr:rowOff>9525</xdr:rowOff>
    </xdr:from>
    <xdr:to>
      <xdr:col>54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meldrum/AppData/Local/Microsoft/Windows/Temporary%20Internet%20Files/Content.Outlook/9M5TI6DY/RJH%20Copy%20SI%20Gasoline%20SAE%20CSC%202019%20Score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s and Awards"/>
      <sheetName val="Paper"/>
      <sheetName val="Static"/>
      <sheetName val="MSRP"/>
      <sheetName val="Subjective Handling "/>
      <sheetName val="Fuel Economy-Endurance  "/>
      <sheetName val="Noise"/>
      <sheetName val="Oral"/>
      <sheetName val="Acceleration"/>
      <sheetName val="Lab Emissions"/>
      <sheetName val="In Service Emissions"/>
      <sheetName val="Cold Start"/>
      <sheetName val="Objective Handling"/>
      <sheetName val="Penalties and Bonuses"/>
      <sheetName val="Vehicle Weights"/>
    </sheetNames>
    <sheetDataSet>
      <sheetData sheetId="0"/>
      <sheetData sheetId="1">
        <row r="58">
          <cell r="C58">
            <v>82.181818181818187</v>
          </cell>
          <cell r="D58">
            <v>75.545454545454547</v>
          </cell>
          <cell r="E58">
            <v>58.111111111111114</v>
          </cell>
          <cell r="F58">
            <v>53</v>
          </cell>
          <cell r="G58">
            <v>83</v>
          </cell>
          <cell r="H58">
            <v>78.599999999999994</v>
          </cell>
          <cell r="I58">
            <v>64.888888888888886</v>
          </cell>
          <cell r="J58">
            <v>43.222222222222221</v>
          </cell>
          <cell r="K58">
            <v>52.18181818181818</v>
          </cell>
          <cell r="L58">
            <v>58.333333333333336</v>
          </cell>
          <cell r="M58">
            <v>56.75</v>
          </cell>
          <cell r="N58">
            <v>37.352941176470587</v>
          </cell>
          <cell r="O58">
            <v>54.5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61"/>
  <sheetViews>
    <sheetView tabSelected="1" zoomScaleNormal="100" zoomScalePageLayoutView="125" workbookViewId="0">
      <selection activeCell="B1" sqref="B1"/>
    </sheetView>
  </sheetViews>
  <sheetFormatPr defaultColWidth="8.88671875" defaultRowHeight="13.2"/>
  <cols>
    <col min="1" max="1" width="5.5546875" customWidth="1"/>
    <col min="2" max="2" width="46.5546875" customWidth="1"/>
    <col min="3" max="3" width="14.88671875" customWidth="1"/>
    <col min="4" max="4" width="11.88671875" style="3" customWidth="1"/>
    <col min="5" max="5" width="10.44140625" customWidth="1"/>
    <col min="6" max="6" width="12.88671875" customWidth="1"/>
    <col min="7" max="7" width="12.44140625" customWidth="1"/>
    <col min="8" max="8" width="14.88671875" customWidth="1"/>
    <col min="9" max="9" width="11.44140625" customWidth="1"/>
    <col min="10" max="10" width="15.33203125" customWidth="1"/>
    <col min="11" max="11" width="15.44140625" style="161" customWidth="1"/>
    <col min="12" max="12" width="15.44140625" style="3" customWidth="1"/>
    <col min="13" max="13" width="9.33203125" customWidth="1"/>
    <col min="14" max="14" width="12.44140625" customWidth="1"/>
    <col min="15" max="15" width="11.109375" customWidth="1"/>
    <col min="16" max="16" width="12.44140625" customWidth="1"/>
    <col min="17" max="17" width="15.44140625" customWidth="1"/>
  </cols>
  <sheetData>
    <row r="1" spans="1:20" ht="34.799999999999997">
      <c r="B1" s="526" t="s">
        <v>266</v>
      </c>
      <c r="C1" s="412"/>
      <c r="D1" s="413"/>
      <c r="E1" s="412"/>
      <c r="F1" s="412"/>
      <c r="G1" s="414" t="s">
        <v>141</v>
      </c>
      <c r="H1" s="415"/>
      <c r="I1" s="412"/>
      <c r="J1" s="412"/>
      <c r="K1" s="416"/>
      <c r="L1" s="417" t="s">
        <v>85</v>
      </c>
      <c r="M1" s="412"/>
      <c r="N1" s="412"/>
      <c r="O1" s="412"/>
      <c r="P1" s="412"/>
      <c r="Q1" s="418"/>
    </row>
    <row r="2" spans="1:20">
      <c r="B2" s="6"/>
      <c r="C2" s="417" t="s">
        <v>21</v>
      </c>
      <c r="D2" s="417" t="s">
        <v>5</v>
      </c>
      <c r="E2" s="412"/>
      <c r="F2" s="417" t="s">
        <v>45</v>
      </c>
      <c r="G2" s="417" t="s">
        <v>38</v>
      </c>
      <c r="H2" s="415"/>
      <c r="I2" s="412"/>
      <c r="J2" s="412"/>
      <c r="K2" s="419" t="s">
        <v>84</v>
      </c>
      <c r="L2" s="417" t="s">
        <v>76</v>
      </c>
      <c r="M2" s="417" t="s">
        <v>40</v>
      </c>
      <c r="N2" s="417" t="s">
        <v>43</v>
      </c>
      <c r="O2" s="414" t="s">
        <v>61</v>
      </c>
      <c r="P2" s="414" t="s">
        <v>82</v>
      </c>
      <c r="Q2" s="420"/>
    </row>
    <row r="3" spans="1:20">
      <c r="B3" s="6"/>
      <c r="C3" s="417" t="s">
        <v>6</v>
      </c>
      <c r="D3" s="417" t="s">
        <v>44</v>
      </c>
      <c r="E3" s="417" t="s">
        <v>63</v>
      </c>
      <c r="F3" s="417" t="s">
        <v>3</v>
      </c>
      <c r="G3" s="421" t="s">
        <v>39</v>
      </c>
      <c r="H3" s="417" t="s">
        <v>4</v>
      </c>
      <c r="I3" s="417" t="s">
        <v>34</v>
      </c>
      <c r="J3" s="422" t="s">
        <v>35</v>
      </c>
      <c r="K3" s="419" t="s">
        <v>75</v>
      </c>
      <c r="L3" s="417" t="s">
        <v>2</v>
      </c>
      <c r="M3" s="417" t="s">
        <v>41</v>
      </c>
      <c r="N3" s="417" t="s">
        <v>3</v>
      </c>
      <c r="O3" s="417" t="s">
        <v>60</v>
      </c>
      <c r="P3" s="417" t="s">
        <v>83</v>
      </c>
      <c r="Q3" s="423" t="s">
        <v>168</v>
      </c>
      <c r="T3" s="5"/>
    </row>
    <row r="4" spans="1:20" ht="20.399999999999999">
      <c r="A4" s="340">
        <v>2</v>
      </c>
      <c r="B4" s="340" t="s">
        <v>172</v>
      </c>
      <c r="C4" s="424">
        <f>[1]Paper!C58</f>
        <v>82.181818181818187</v>
      </c>
      <c r="D4" s="424">
        <f>Static!C5</f>
        <v>50</v>
      </c>
      <c r="E4" s="463">
        <f>MSRP!M7</f>
        <v>35.697535130154336</v>
      </c>
      <c r="F4" s="424">
        <f>'Subjective Handling '!S4</f>
        <v>39.166666666666664</v>
      </c>
      <c r="G4" s="445">
        <f>'Fuel Economy-Endurance  '!F10</f>
        <v>0</v>
      </c>
      <c r="H4" s="424">
        <f>Oral!BD4</f>
        <v>75.060606060606062</v>
      </c>
      <c r="I4" s="424">
        <f>Noise!H5</f>
        <v>7.5</v>
      </c>
      <c r="J4" s="463">
        <f>Acceleration!F5</f>
        <v>0</v>
      </c>
      <c r="K4" s="424">
        <f>'Lab Emissions'!Q4</f>
        <v>307.08</v>
      </c>
      <c r="L4" s="424">
        <f>'In Service Emissions'!K6</f>
        <v>92.507093846984503</v>
      </c>
      <c r="M4" s="424">
        <f>'Cold Start'!D4</f>
        <v>50</v>
      </c>
      <c r="N4" s="464">
        <f>'Objective Handling'!J6</f>
        <v>0</v>
      </c>
      <c r="O4" s="424">
        <f>'Penalties and Bonuses'!K4</f>
        <v>100</v>
      </c>
      <c r="P4" s="425">
        <f>0</f>
        <v>0</v>
      </c>
      <c r="Q4" s="426">
        <f>SUM(C4:P4)</f>
        <v>839.19371988622981</v>
      </c>
      <c r="T4" s="52"/>
    </row>
    <row r="5" spans="1:20" ht="20.399999999999999">
      <c r="A5" s="340">
        <v>3</v>
      </c>
      <c r="B5" s="340" t="s">
        <v>171</v>
      </c>
      <c r="C5" s="424">
        <f>[1]Paper!D58</f>
        <v>75.545454545454547</v>
      </c>
      <c r="D5" s="424">
        <f>Static!C6</f>
        <v>50</v>
      </c>
      <c r="E5" s="463">
        <f>MSRP!M8</f>
        <v>47</v>
      </c>
      <c r="F5" s="424">
        <f>'Subjective Handling '!S5</f>
        <v>35.055555555555557</v>
      </c>
      <c r="G5" s="445">
        <f>'Fuel Economy-Endurance  '!F11</f>
        <v>200</v>
      </c>
      <c r="H5" s="424">
        <f>Oral!BD5</f>
        <v>64.879310344827587</v>
      </c>
      <c r="I5" s="424">
        <f>Noise!H6</f>
        <v>7.5</v>
      </c>
      <c r="J5" s="463">
        <f>Acceleration!F6</f>
        <v>35.945945945945937</v>
      </c>
      <c r="K5" s="424">
        <f>'Lab Emissions'!Q5</f>
        <v>321.88</v>
      </c>
      <c r="L5" s="424">
        <f>'In Service Emissions'!K7</f>
        <v>99.999999999999986</v>
      </c>
      <c r="M5" s="424">
        <f>'Cold Start'!D5</f>
        <v>50</v>
      </c>
      <c r="N5" s="464">
        <f>'Objective Handling'!J7</f>
        <v>9.0909090909090935</v>
      </c>
      <c r="O5" s="424">
        <f>'Penalties and Bonuses'!K5</f>
        <v>100</v>
      </c>
      <c r="P5" s="425">
        <f>0</f>
        <v>0</v>
      </c>
      <c r="Q5" s="426">
        <f t="shared" ref="Q5:Q16" si="0">SUM(C5:P5)</f>
        <v>1096.8971754826928</v>
      </c>
      <c r="T5" s="52"/>
    </row>
    <row r="6" spans="1:20" ht="20.399999999999999">
      <c r="A6" s="340">
        <v>4</v>
      </c>
      <c r="B6" s="340" t="s">
        <v>170</v>
      </c>
      <c r="C6" s="424">
        <f>[1]Paper!E58</f>
        <v>58.111111111111114</v>
      </c>
      <c r="D6" s="424">
        <f>Static!C7</f>
        <v>50</v>
      </c>
      <c r="E6" s="463">
        <f>MSRP!M9</f>
        <v>37.634876756507715</v>
      </c>
      <c r="F6" s="424">
        <f>'Subjective Handling '!S6</f>
        <v>33.333333333333336</v>
      </c>
      <c r="G6" s="445">
        <f>'Fuel Economy-Endurance  '!F12</f>
        <v>0</v>
      </c>
      <c r="H6" s="424">
        <f>Oral!BD6</f>
        <v>53.428571428571431</v>
      </c>
      <c r="I6" s="424">
        <f>Noise!H7</f>
        <v>300</v>
      </c>
      <c r="J6" s="463">
        <f>Acceleration!F7</f>
        <v>0</v>
      </c>
      <c r="K6" s="424">
        <f>'Lab Emissions'!Q6</f>
        <v>10</v>
      </c>
      <c r="L6" s="424">
        <f>'In Service Emissions'!K8</f>
        <v>79.864961082066003</v>
      </c>
      <c r="M6" s="424">
        <f>'Cold Start'!D6</f>
        <v>50</v>
      </c>
      <c r="N6" s="464">
        <f>'Objective Handling'!J8</f>
        <v>0</v>
      </c>
      <c r="O6" s="424">
        <f>'Penalties and Bonuses'!K6</f>
        <v>-40</v>
      </c>
      <c r="P6" s="425">
        <f>0</f>
        <v>0</v>
      </c>
      <c r="Q6" s="426">
        <f t="shared" si="0"/>
        <v>632.37285371158964</v>
      </c>
      <c r="T6" s="52"/>
    </row>
    <row r="7" spans="1:20" s="140" customFormat="1" ht="20.399999999999999">
      <c r="A7" s="340">
        <v>5</v>
      </c>
      <c r="B7" s="340" t="s">
        <v>177</v>
      </c>
      <c r="C7" s="424">
        <f>[1]Paper!F58</f>
        <v>53</v>
      </c>
      <c r="D7" s="424">
        <f>Static!C8</f>
        <v>50</v>
      </c>
      <c r="E7" s="463">
        <f>MSRP!M10</f>
        <v>23.589495507947476</v>
      </c>
      <c r="F7" s="424">
        <f>'Subjective Handling '!S7</f>
        <v>31.333333333333332</v>
      </c>
      <c r="G7" s="445">
        <f>'Fuel Economy-Endurance  '!F13</f>
        <v>188.66409111737084</v>
      </c>
      <c r="H7" s="424">
        <f>Oral!BD7</f>
        <v>40.967741935483872</v>
      </c>
      <c r="I7" s="424">
        <f>Noise!H8</f>
        <v>194.14923520864221</v>
      </c>
      <c r="J7" s="463">
        <f>Acceleration!F8</f>
        <v>50</v>
      </c>
      <c r="K7" s="424">
        <f>'Lab Emissions'!Q7</f>
        <v>253.21</v>
      </c>
      <c r="L7" s="424">
        <f>'In Service Emissions'!K9</f>
        <v>73.649776804550754</v>
      </c>
      <c r="M7" s="424">
        <f>'Cold Start'!D7</f>
        <v>0</v>
      </c>
      <c r="N7" s="464">
        <f>'Objective Handling'!J9</f>
        <v>0</v>
      </c>
      <c r="O7" s="424">
        <f>'Penalties and Bonuses'!K7</f>
        <v>100</v>
      </c>
      <c r="P7" s="425">
        <f>0</f>
        <v>0</v>
      </c>
      <c r="Q7" s="426">
        <f t="shared" si="0"/>
        <v>1058.5636739073286</v>
      </c>
      <c r="T7" s="189"/>
    </row>
    <row r="8" spans="1:20" s="140" customFormat="1" ht="20.399999999999999">
      <c r="A8" s="340">
        <v>6</v>
      </c>
      <c r="B8" s="340" t="s">
        <v>210</v>
      </c>
      <c r="C8" s="424">
        <f>[1]Paper!G58</f>
        <v>83</v>
      </c>
      <c r="D8" s="424">
        <f>Static!C9</f>
        <v>50</v>
      </c>
      <c r="E8" s="463">
        <f>MSRP!M11</f>
        <v>27.538124856023956</v>
      </c>
      <c r="F8" s="424">
        <f>'Subjective Handling '!S8</f>
        <v>32.888888888888886</v>
      </c>
      <c r="G8" s="445">
        <f>'Fuel Economy-Endurance  '!F14</f>
        <v>175.55497255165577</v>
      </c>
      <c r="H8" s="424">
        <f>Oral!BD8</f>
        <v>70.099999999999994</v>
      </c>
      <c r="I8" s="424">
        <f>Noise!H9</f>
        <v>7.5</v>
      </c>
      <c r="J8" s="463">
        <f>Acceleration!F9</f>
        <v>0</v>
      </c>
      <c r="K8" s="424">
        <f>'Lab Emissions'!Q8</f>
        <v>297.99</v>
      </c>
      <c r="L8" s="424">
        <f>'In Service Emissions'!K10</f>
        <v>96.914068209076447</v>
      </c>
      <c r="M8" s="424">
        <f>'Cold Start'!D8</f>
        <v>50</v>
      </c>
      <c r="N8" s="464">
        <f>'Objective Handling'!J10</f>
        <v>50</v>
      </c>
      <c r="O8" s="424">
        <f>'Penalties and Bonuses'!K8</f>
        <v>100</v>
      </c>
      <c r="P8" s="425">
        <f>0</f>
        <v>0</v>
      </c>
      <c r="Q8" s="426">
        <f t="shared" si="0"/>
        <v>1041.4860545056451</v>
      </c>
      <c r="T8" s="189"/>
    </row>
    <row r="9" spans="1:20" s="28" customFormat="1" ht="20.399999999999999">
      <c r="A9" s="340">
        <v>7</v>
      </c>
      <c r="B9" s="340" t="s">
        <v>173</v>
      </c>
      <c r="C9" s="424">
        <f>[1]Paper!H58</f>
        <v>78.599999999999994</v>
      </c>
      <c r="D9" s="424">
        <f>Static!C10</f>
        <v>50</v>
      </c>
      <c r="E9" s="463">
        <f>MSRP!M12</f>
        <v>39.575443446210549</v>
      </c>
      <c r="F9" s="424">
        <f>'Subjective Handling '!S9</f>
        <v>41.8125</v>
      </c>
      <c r="G9" s="445">
        <f>'Fuel Economy-Endurance  '!F15</f>
        <v>193.14216601941911</v>
      </c>
      <c r="H9" s="424">
        <f>Oral!BD9</f>
        <v>75.928571428571431</v>
      </c>
      <c r="I9" s="424">
        <f>Noise!H10</f>
        <v>7.5</v>
      </c>
      <c r="J9" s="463">
        <f>Acceleration!F10</f>
        <v>34.324324324324323</v>
      </c>
      <c r="K9" s="424">
        <f>'Lab Emissions'!Q9</f>
        <v>68.599999999999994</v>
      </c>
      <c r="L9" s="424">
        <f>'In Service Emissions'!K11</f>
        <v>88.746668235364965</v>
      </c>
      <c r="M9" s="424">
        <f>'Cold Start'!D9</f>
        <v>50</v>
      </c>
      <c r="N9" s="464">
        <f>'Objective Handling'!J11</f>
        <v>49.090909090909093</v>
      </c>
      <c r="O9" s="424">
        <f>'Penalties and Bonuses'!K9</f>
        <v>100</v>
      </c>
      <c r="P9" s="425">
        <f>0</f>
        <v>0</v>
      </c>
      <c r="Q9" s="426">
        <f t="shared" si="0"/>
        <v>877.32058254479944</v>
      </c>
      <c r="T9" s="218"/>
    </row>
    <row r="10" spans="1:20" ht="23.4">
      <c r="A10" s="340">
        <v>8</v>
      </c>
      <c r="B10" s="433" t="s">
        <v>179</v>
      </c>
      <c r="C10" s="424">
        <f>[1]Paper!I58</f>
        <v>64.888888888888886</v>
      </c>
      <c r="D10" s="424">
        <f>Static!C11</f>
        <v>50</v>
      </c>
      <c r="E10" s="463">
        <f>MSRP!M13</f>
        <v>45.123013130615064</v>
      </c>
      <c r="F10" s="424">
        <f>'Subjective Handling '!S10</f>
        <v>34.5625</v>
      </c>
      <c r="G10" s="445">
        <f>'Fuel Economy-Endurance  '!F16</f>
        <v>0</v>
      </c>
      <c r="H10" s="424">
        <f>Oral!BD10</f>
        <v>64.333333333333329</v>
      </c>
      <c r="I10" s="424">
        <f>Noise!H11</f>
        <v>7.5</v>
      </c>
      <c r="J10" s="463">
        <f>Acceleration!F11</f>
        <v>25.405405405405389</v>
      </c>
      <c r="K10" s="424">
        <f>'Lab Emissions'!Q10</f>
        <v>49.33</v>
      </c>
      <c r="L10" s="424">
        <f>'In Service Emissions'!K12</f>
        <v>75.913660742813903</v>
      </c>
      <c r="M10" s="424">
        <f>'Cold Start'!D10</f>
        <v>50</v>
      </c>
      <c r="N10" s="464">
        <f>'Objective Handling'!J12</f>
        <v>48.18181818181818</v>
      </c>
      <c r="O10" s="424">
        <f>'Penalties and Bonuses'!K10</f>
        <v>0</v>
      </c>
      <c r="P10" s="425">
        <f>0</f>
        <v>0</v>
      </c>
      <c r="Q10" s="426">
        <f t="shared" si="0"/>
        <v>515.23861968287463</v>
      </c>
      <c r="T10" s="52"/>
    </row>
    <row r="11" spans="1:20" ht="40.799999999999997">
      <c r="A11" s="340">
        <v>9</v>
      </c>
      <c r="B11" s="446" t="s">
        <v>178</v>
      </c>
      <c r="C11" s="424">
        <f>[1]Paper!J58</f>
        <v>43.222222222222221</v>
      </c>
      <c r="D11" s="424">
        <f>Static!C12</f>
        <v>50</v>
      </c>
      <c r="E11" s="463">
        <f>MSRP!M14</f>
        <v>20.179912462566229</v>
      </c>
      <c r="F11" s="424">
        <f>'Subjective Handling '!S11</f>
        <v>0</v>
      </c>
      <c r="G11" s="445">
        <f>'Fuel Economy-Endurance  '!F17</f>
        <v>168.53999898288959</v>
      </c>
      <c r="H11" s="424">
        <f>Oral!BD11</f>
        <v>37.28846153846154</v>
      </c>
      <c r="I11" s="424">
        <f>Noise!H12</f>
        <v>7.5178085044090812</v>
      </c>
      <c r="J11" s="463">
        <f>Acceleration!F12</f>
        <v>9.4594594594594525</v>
      </c>
      <c r="K11" s="424">
        <f>'Lab Emissions'!Q11</f>
        <v>10</v>
      </c>
      <c r="L11" s="424">
        <f>'In Service Emissions'!K13</f>
        <v>80.452777376122725</v>
      </c>
      <c r="M11" s="424">
        <f>'Cold Start'!D11</f>
        <v>50</v>
      </c>
      <c r="N11" s="464">
        <f>'Objective Handling'!J13</f>
        <v>0</v>
      </c>
      <c r="O11" s="424">
        <f>'Penalties and Bonuses'!K11</f>
        <v>-10</v>
      </c>
      <c r="P11" s="425">
        <f>0</f>
        <v>0</v>
      </c>
      <c r="Q11" s="426">
        <f t="shared" si="0"/>
        <v>466.66064054613082</v>
      </c>
      <c r="T11" s="52"/>
    </row>
    <row r="12" spans="1:20" s="28" customFormat="1" ht="20.399999999999999">
      <c r="A12" s="340">
        <v>10</v>
      </c>
      <c r="B12" s="340" t="s">
        <v>180</v>
      </c>
      <c r="C12" s="424">
        <f>[1]Paper!K58</f>
        <v>52.18181818181818</v>
      </c>
      <c r="D12" s="424">
        <f>Static!C13</f>
        <v>50</v>
      </c>
      <c r="E12" s="463">
        <f>MSRP!M15</f>
        <v>16.212278276894722</v>
      </c>
      <c r="F12" s="424">
        <f>'Subjective Handling '!S12</f>
        <v>40.0625</v>
      </c>
      <c r="G12" s="445">
        <f>'Fuel Economy-Endurance  '!F18</f>
        <v>0</v>
      </c>
      <c r="H12" s="424">
        <f>Oral!BD12</f>
        <v>42.685185185185183</v>
      </c>
      <c r="I12" s="424">
        <f>Noise!H13</f>
        <v>7.5</v>
      </c>
      <c r="J12" s="463">
        <f>Acceleration!F13</f>
        <v>48.648648648648646</v>
      </c>
      <c r="K12" s="424">
        <f>'Lab Emissions'!Q12</f>
        <v>10</v>
      </c>
      <c r="L12" s="424">
        <f>'In Service Emissions'!K14</f>
        <v>2.5</v>
      </c>
      <c r="M12" s="424">
        <f>'Cold Start'!D12</f>
        <v>50</v>
      </c>
      <c r="N12" s="464">
        <f>'Objective Handling'!J14</f>
        <v>0</v>
      </c>
      <c r="O12" s="424">
        <f>'Penalties and Bonuses'!K12</f>
        <v>-40</v>
      </c>
      <c r="P12" s="425">
        <f>0</f>
        <v>0</v>
      </c>
      <c r="Q12" s="426">
        <f t="shared" si="0"/>
        <v>279.79043029254672</v>
      </c>
      <c r="T12" s="218"/>
    </row>
    <row r="13" spans="1:20" ht="20.399999999999999">
      <c r="A13" s="340">
        <v>11</v>
      </c>
      <c r="B13" s="340" t="s">
        <v>176</v>
      </c>
      <c r="C13" s="424">
        <f>[1]Paper!L58</f>
        <v>58.333333333333336</v>
      </c>
      <c r="D13" s="424">
        <f>Static!C14</f>
        <v>50</v>
      </c>
      <c r="E13" s="463">
        <f>MSRP!M16</f>
        <v>9</v>
      </c>
      <c r="F13" s="424">
        <f>'Subjective Handling '!S13</f>
        <v>42.555555555555557</v>
      </c>
      <c r="G13" s="445">
        <f>'Fuel Economy-Endurance  '!F19</f>
        <v>0</v>
      </c>
      <c r="H13" s="424">
        <f>Oral!BD13</f>
        <v>49.903846153846153</v>
      </c>
      <c r="I13" s="424">
        <f>Noise!H14</f>
        <v>7.5</v>
      </c>
      <c r="J13" s="463">
        <f>Acceleration!F14</f>
        <v>35.945945945945937</v>
      </c>
      <c r="K13" s="424">
        <f>'Lab Emissions'!Q13</f>
        <v>59.74</v>
      </c>
      <c r="L13" s="424">
        <f>'In Service Emissions'!K15</f>
        <v>79.699385181852307</v>
      </c>
      <c r="M13" s="424">
        <f>'Cold Start'!D13</f>
        <v>50</v>
      </c>
      <c r="N13" s="464">
        <f>'Objective Handling'!J15</f>
        <v>48.18181818181818</v>
      </c>
      <c r="O13" s="424">
        <f>'Penalties and Bonuses'!K13</f>
        <v>0</v>
      </c>
      <c r="P13" s="425">
        <f>0</f>
        <v>0</v>
      </c>
      <c r="Q13" s="426">
        <f t="shared" si="0"/>
        <v>490.85988435235146</v>
      </c>
    </row>
    <row r="14" spans="1:20" ht="20.399999999999999">
      <c r="A14" s="340">
        <v>12</v>
      </c>
      <c r="B14" s="340" t="s">
        <v>174</v>
      </c>
      <c r="C14" s="424">
        <f>[1]Paper!M58</f>
        <v>56.75</v>
      </c>
      <c r="D14" s="424">
        <f>Static!C15</f>
        <v>50</v>
      </c>
      <c r="E14" s="463">
        <f>MSRP!M17</f>
        <v>27.134761575673807</v>
      </c>
      <c r="F14" s="424">
        <f>'Subjective Handling '!S14</f>
        <v>0</v>
      </c>
      <c r="G14" s="445">
        <f>'Fuel Economy-Endurance  '!F20</f>
        <v>0</v>
      </c>
      <c r="H14" s="424">
        <f>Oral!BD14</f>
        <v>48.553571428571431</v>
      </c>
      <c r="I14" s="424">
        <f>Noise!H15</f>
        <v>0</v>
      </c>
      <c r="J14" s="463">
        <f>Acceleration!F15</f>
        <v>0</v>
      </c>
      <c r="K14" s="424">
        <f>'Lab Emissions'!Q14</f>
        <v>0</v>
      </c>
      <c r="L14" s="424">
        <f>'In Service Emissions'!K16</f>
        <v>0</v>
      </c>
      <c r="M14" s="424">
        <f>'Cold Start'!D14</f>
        <v>0</v>
      </c>
      <c r="N14" s="464">
        <f>'Objective Handling'!J16</f>
        <v>0</v>
      </c>
      <c r="O14" s="424">
        <f>'Penalties and Bonuses'!K14</f>
        <v>-20</v>
      </c>
      <c r="P14" s="425">
        <f>0</f>
        <v>0</v>
      </c>
      <c r="Q14" s="426">
        <f t="shared" si="0"/>
        <v>162.43833300424524</v>
      </c>
    </row>
    <row r="15" spans="1:20" ht="20.399999999999999">
      <c r="A15" s="340">
        <v>13</v>
      </c>
      <c r="B15" s="340" t="s">
        <v>211</v>
      </c>
      <c r="C15" s="424">
        <f>[1]Paper!N58</f>
        <v>37.352941176470587</v>
      </c>
      <c r="D15" s="424">
        <f>Static!C16</f>
        <v>50</v>
      </c>
      <c r="E15" s="463">
        <f>MSRP!M18</f>
        <v>38.294171849804187</v>
      </c>
      <c r="F15" s="424">
        <f>'Subjective Handling '!S15</f>
        <v>34.071428571428569</v>
      </c>
      <c r="G15" s="445">
        <f>'Fuel Economy-Endurance  '!F21</f>
        <v>0</v>
      </c>
      <c r="H15" s="424">
        <f>Oral!BD15</f>
        <v>52.716666666666669</v>
      </c>
      <c r="I15" s="424">
        <f>Noise!H16</f>
        <v>7.5</v>
      </c>
      <c r="J15" s="463">
        <f>Acceleration!F16</f>
        <v>10.540540540540519</v>
      </c>
      <c r="K15" s="424">
        <f>'Lab Emissions'!Q15</f>
        <v>10</v>
      </c>
      <c r="L15" s="424">
        <f>'In Service Emissions'!K17</f>
        <v>0</v>
      </c>
      <c r="M15" s="424">
        <f>'Cold Start'!D15</f>
        <v>50</v>
      </c>
      <c r="N15" s="464">
        <f>'Objective Handling'!J17</f>
        <v>47.272727272727273</v>
      </c>
      <c r="O15" s="424">
        <f>'Penalties and Bonuses'!K15</f>
        <v>100</v>
      </c>
      <c r="P15" s="425">
        <v>0</v>
      </c>
      <c r="Q15" s="426">
        <f t="shared" si="0"/>
        <v>437.74847607763775</v>
      </c>
    </row>
    <row r="16" spans="1:20" ht="20.399999999999999">
      <c r="A16" s="340">
        <v>14</v>
      </c>
      <c r="B16" s="340" t="s">
        <v>175</v>
      </c>
      <c r="C16" s="424">
        <f>[1]Paper!O58</f>
        <v>54.5</v>
      </c>
      <c r="D16" s="424">
        <f>Static!C17</f>
        <v>50</v>
      </c>
      <c r="E16" s="463">
        <f>MSRP!M19</f>
        <v>33.173462335867313</v>
      </c>
      <c r="F16" s="424">
        <f>'Subjective Handling '!S16</f>
        <v>25.4375</v>
      </c>
      <c r="G16" s="445">
        <f>'Fuel Economy-Endurance  '!F22</f>
        <v>132.00038597551736</v>
      </c>
      <c r="H16" s="424">
        <f>Oral!BD16</f>
        <v>49.103448275862071</v>
      </c>
      <c r="I16" s="424">
        <f>Noise!H17</f>
        <v>7.5</v>
      </c>
      <c r="J16" s="463">
        <f>Acceleration!F17</f>
        <v>9.4594594594594525</v>
      </c>
      <c r="K16" s="424">
        <f>'Lab Emissions'!Q16</f>
        <v>22.5</v>
      </c>
      <c r="L16" s="424">
        <f>'In Service Emissions'!K18</f>
        <v>0</v>
      </c>
      <c r="M16" s="424">
        <f>'Cold Start'!D16</f>
        <v>0</v>
      </c>
      <c r="N16" s="464">
        <f>'Objective Handling'!J18</f>
        <v>0</v>
      </c>
      <c r="O16" s="424">
        <f>'Penalties and Bonuses'!K16</f>
        <v>100</v>
      </c>
      <c r="P16" s="425">
        <v>0</v>
      </c>
      <c r="Q16" s="426">
        <f t="shared" si="0"/>
        <v>483.6742560467062</v>
      </c>
    </row>
    <row r="17" spans="1:17" ht="13.8">
      <c r="C17" s="360" t="s">
        <v>42</v>
      </c>
      <c r="D17" s="360" t="s">
        <v>42</v>
      </c>
      <c r="E17" s="360" t="s">
        <v>42</v>
      </c>
      <c r="F17" s="360" t="s">
        <v>42</v>
      </c>
      <c r="G17" s="360" t="s">
        <v>42</v>
      </c>
      <c r="H17" s="360" t="s">
        <v>42</v>
      </c>
      <c r="I17" s="360" t="s">
        <v>42</v>
      </c>
      <c r="J17" s="360" t="s">
        <v>42</v>
      </c>
      <c r="K17" s="360" t="s">
        <v>42</v>
      </c>
      <c r="L17" s="360" t="s">
        <v>42</v>
      </c>
      <c r="M17" s="360" t="s">
        <v>42</v>
      </c>
      <c r="N17" s="360" t="s">
        <v>42</v>
      </c>
      <c r="O17" s="361"/>
      <c r="P17" s="360" t="s">
        <v>42</v>
      </c>
      <c r="Q17" s="359"/>
    </row>
    <row r="18" spans="1:17">
      <c r="B18" s="366"/>
      <c r="C18" s="368" t="s">
        <v>19</v>
      </c>
      <c r="D18" s="367" t="s">
        <v>19</v>
      </c>
      <c r="E18" s="367" t="s">
        <v>22</v>
      </c>
      <c r="F18" s="370" t="s">
        <v>42</v>
      </c>
      <c r="G18" s="367" t="s">
        <v>19</v>
      </c>
      <c r="H18" s="369"/>
      <c r="I18" s="369"/>
      <c r="J18" s="57"/>
      <c r="M18" s="46"/>
      <c r="N18" s="30"/>
      <c r="O18" s="9"/>
      <c r="P18" s="6"/>
    </row>
    <row r="19" spans="1:17">
      <c r="B19" s="365"/>
      <c r="C19" s="368" t="s">
        <v>18</v>
      </c>
      <c r="D19" s="368" t="s">
        <v>21</v>
      </c>
      <c r="E19" s="364" t="s">
        <v>23</v>
      </c>
      <c r="F19" s="368"/>
      <c r="G19" s="364" t="s">
        <v>154</v>
      </c>
      <c r="H19" s="368" t="s">
        <v>24</v>
      </c>
      <c r="I19" s="368" t="s">
        <v>26</v>
      </c>
      <c r="M19" s="46"/>
      <c r="N19" s="30"/>
      <c r="O19" s="396"/>
      <c r="P19" s="6"/>
    </row>
    <row r="20" spans="1:17">
      <c r="B20" s="365"/>
      <c r="C20" s="368" t="s">
        <v>20</v>
      </c>
      <c r="D20" s="368" t="s">
        <v>20</v>
      </c>
      <c r="E20" s="364" t="s">
        <v>20</v>
      </c>
      <c r="F20" s="368"/>
      <c r="G20" s="364" t="s">
        <v>20</v>
      </c>
      <c r="H20" s="368" t="s">
        <v>9</v>
      </c>
      <c r="I20" s="368" t="s">
        <v>25</v>
      </c>
      <c r="J20" s="368" t="s">
        <v>104</v>
      </c>
      <c r="M20" s="46"/>
      <c r="N20" s="30"/>
      <c r="O20" s="396"/>
      <c r="P20" s="6"/>
    </row>
    <row r="21" spans="1:17" ht="20.399999999999999">
      <c r="A21" s="340">
        <v>2</v>
      </c>
      <c r="B21" s="340" t="s">
        <v>172</v>
      </c>
      <c r="C21" s="367" t="str">
        <f t="shared" ref="C21:C29" si="1">IF(AND(I4&gt;8,K4&gt;69,J4&gt;0),(J4+N4),"Not Eligible")</f>
        <v>Not Eligible</v>
      </c>
      <c r="D21" s="367" t="str">
        <f t="shared" ref="D21:D29" si="2">IF(AND(K4&gt;69,I4&gt;8,J4&gt;0),(C4+H4+D4),"Not Eligible")</f>
        <v>Not Eligible</v>
      </c>
      <c r="E21" s="367">
        <f t="shared" ref="E21:E29" si="3">I4+K4+E4</f>
        <v>350.27753513015432</v>
      </c>
      <c r="F21" s="407"/>
      <c r="G21" s="367">
        <f>(F4+G4+J4+M4+N4+E4)</f>
        <v>124.86420179682099</v>
      </c>
      <c r="H21" s="50">
        <f t="shared" ref="H21:H29" si="4">SUM(C4:P4)</f>
        <v>839.19371988622981</v>
      </c>
      <c r="I21" s="364"/>
      <c r="J21" s="398" t="s">
        <v>253</v>
      </c>
      <c r="M21" s="46"/>
      <c r="N21" s="30"/>
      <c r="O21" s="19"/>
      <c r="P21" s="6"/>
    </row>
    <row r="22" spans="1:17" ht="20.399999999999999">
      <c r="A22" s="340">
        <v>3</v>
      </c>
      <c r="B22" s="340" t="s">
        <v>171</v>
      </c>
      <c r="C22" s="367" t="str">
        <f t="shared" si="1"/>
        <v>Not Eligible</v>
      </c>
      <c r="D22" s="367" t="str">
        <f t="shared" si="2"/>
        <v>Not Eligible</v>
      </c>
      <c r="E22" s="367">
        <f t="shared" si="3"/>
        <v>376.38</v>
      </c>
      <c r="F22" s="407"/>
      <c r="G22" s="367">
        <f>(F5+G5+J5+M5+N5+E5)</f>
        <v>377.0924105924106</v>
      </c>
      <c r="H22" s="50">
        <f t="shared" si="4"/>
        <v>1096.8971754826928</v>
      </c>
      <c r="I22" s="364"/>
      <c r="J22" s="411" t="s">
        <v>253</v>
      </c>
      <c r="M22" s="46"/>
      <c r="N22" s="30"/>
      <c r="O22" s="19"/>
      <c r="P22" s="6"/>
    </row>
    <row r="23" spans="1:17" s="140" customFormat="1" ht="20.399999999999999">
      <c r="A23" s="340">
        <v>4</v>
      </c>
      <c r="B23" s="340" t="s">
        <v>170</v>
      </c>
      <c r="C23" s="367" t="str">
        <f t="shared" si="1"/>
        <v>Not Eligible</v>
      </c>
      <c r="D23" s="367" t="str">
        <f t="shared" si="2"/>
        <v>Not Eligible</v>
      </c>
      <c r="E23" s="367">
        <f t="shared" si="3"/>
        <v>347.63487675650771</v>
      </c>
      <c r="F23" s="407"/>
      <c r="G23" s="367">
        <f>(F6+G6+J6+M6+N6+E6)</f>
        <v>120.96821008984105</v>
      </c>
      <c r="H23" s="50">
        <f t="shared" si="4"/>
        <v>632.37285371158964</v>
      </c>
      <c r="I23" s="364"/>
      <c r="J23" s="411" t="s">
        <v>254</v>
      </c>
      <c r="K23" s="196"/>
      <c r="L23" s="183"/>
      <c r="M23" s="197"/>
      <c r="N23" s="194"/>
      <c r="O23" s="198"/>
      <c r="P23" s="188"/>
    </row>
    <row r="24" spans="1:17" ht="20.399999999999999">
      <c r="A24" s="340">
        <v>5</v>
      </c>
      <c r="B24" s="340" t="s">
        <v>177</v>
      </c>
      <c r="C24" s="367">
        <f t="shared" si="1"/>
        <v>50</v>
      </c>
      <c r="D24" s="367">
        <f t="shared" si="2"/>
        <v>143.96774193548387</v>
      </c>
      <c r="E24" s="367">
        <f t="shared" si="3"/>
        <v>470.94873071658969</v>
      </c>
      <c r="F24" s="407"/>
      <c r="G24" s="367">
        <f>(F7+G7+J7+M7+N7+E7)</f>
        <v>293.58691995865172</v>
      </c>
      <c r="H24" s="50">
        <f t="shared" si="4"/>
        <v>1058.5636739073286</v>
      </c>
      <c r="I24" s="364">
        <v>1</v>
      </c>
      <c r="J24" s="398"/>
      <c r="M24" s="46"/>
      <c r="N24" s="30"/>
      <c r="O24" s="19"/>
      <c r="P24" s="6"/>
    </row>
    <row r="25" spans="1:17" ht="20.399999999999999">
      <c r="A25" s="340">
        <v>6</v>
      </c>
      <c r="B25" s="340" t="s">
        <v>210</v>
      </c>
      <c r="C25" s="367" t="str">
        <f t="shared" si="1"/>
        <v>Not Eligible</v>
      </c>
      <c r="D25" s="367" t="str">
        <f t="shared" si="2"/>
        <v>Not Eligible</v>
      </c>
      <c r="E25" s="367">
        <f t="shared" si="3"/>
        <v>333.02812485602396</v>
      </c>
      <c r="F25" s="407"/>
      <c r="G25" s="367">
        <f>(F8+G8+J8+M8+N8+E8)</f>
        <v>335.98198629656861</v>
      </c>
      <c r="H25" s="50">
        <f t="shared" si="4"/>
        <v>1041.4860545056451</v>
      </c>
      <c r="I25" s="364"/>
      <c r="J25" s="398" t="s">
        <v>253</v>
      </c>
      <c r="M25" s="46"/>
      <c r="N25" s="30"/>
      <c r="O25" s="19"/>
      <c r="P25" s="6"/>
    </row>
    <row r="26" spans="1:17" ht="20.399999999999999">
      <c r="A26" s="340">
        <v>7</v>
      </c>
      <c r="B26" s="340" t="s">
        <v>173</v>
      </c>
      <c r="C26" s="367" t="str">
        <f t="shared" si="1"/>
        <v>Not Eligible</v>
      </c>
      <c r="D26" s="367" t="str">
        <f t="shared" si="2"/>
        <v>Not Eligible</v>
      </c>
      <c r="E26" s="367">
        <f t="shared" si="3"/>
        <v>115.67544344621055</v>
      </c>
      <c r="F26" s="407"/>
      <c r="G26" s="367">
        <f t="shared" ref="G26:G29" si="5">(F9+G9+J9+M9+N9+E9)</f>
        <v>407.94534288086311</v>
      </c>
      <c r="H26" s="50">
        <f t="shared" si="4"/>
        <v>877.32058254479944</v>
      </c>
      <c r="I26" s="364"/>
      <c r="J26" s="398" t="s">
        <v>253</v>
      </c>
      <c r="M26" s="46"/>
      <c r="N26" s="30"/>
      <c r="O26" s="19"/>
      <c r="P26" s="6"/>
    </row>
    <row r="27" spans="1:17" ht="23.4">
      <c r="A27" s="340">
        <v>8</v>
      </c>
      <c r="B27" s="433" t="s">
        <v>179</v>
      </c>
      <c r="C27" s="367" t="str">
        <f t="shared" si="1"/>
        <v>Not Eligible</v>
      </c>
      <c r="D27" s="367" t="str">
        <f t="shared" si="2"/>
        <v>Not Eligible</v>
      </c>
      <c r="E27" s="367">
        <f t="shared" si="3"/>
        <v>101.95301313061506</v>
      </c>
      <c r="F27" s="407"/>
      <c r="G27" s="367">
        <f t="shared" si="5"/>
        <v>203.27273671783865</v>
      </c>
      <c r="H27" s="50">
        <f t="shared" si="4"/>
        <v>515.23861968287463</v>
      </c>
      <c r="I27" s="364"/>
      <c r="J27" s="398" t="s">
        <v>253</v>
      </c>
      <c r="M27" s="46"/>
      <c r="N27" s="30"/>
      <c r="O27" s="19"/>
      <c r="P27" s="6"/>
    </row>
    <row r="28" spans="1:17" ht="20.399999999999999">
      <c r="A28" s="340">
        <v>9</v>
      </c>
      <c r="B28" s="340" t="s">
        <v>178</v>
      </c>
      <c r="C28" s="367" t="str">
        <f t="shared" si="1"/>
        <v>Not Eligible</v>
      </c>
      <c r="D28" s="367" t="str">
        <f t="shared" si="2"/>
        <v>Not Eligible</v>
      </c>
      <c r="E28" s="367">
        <f t="shared" si="3"/>
        <v>37.697720966975311</v>
      </c>
      <c r="F28" s="407"/>
      <c r="G28" s="367">
        <f t="shared" si="5"/>
        <v>248.17937090491526</v>
      </c>
      <c r="H28" s="50">
        <f t="shared" si="4"/>
        <v>466.66064054613082</v>
      </c>
      <c r="I28" s="364"/>
      <c r="J28" s="398" t="s">
        <v>253</v>
      </c>
      <c r="M28" s="46"/>
      <c r="N28" s="30"/>
      <c r="O28" s="19"/>
      <c r="P28" s="6"/>
    </row>
    <row r="29" spans="1:17" ht="20.399999999999999">
      <c r="A29" s="340">
        <v>10</v>
      </c>
      <c r="B29" s="340" t="s">
        <v>180</v>
      </c>
      <c r="C29" s="367" t="str">
        <f t="shared" si="1"/>
        <v>Not Eligible</v>
      </c>
      <c r="D29" s="367" t="str">
        <f t="shared" si="2"/>
        <v>Not Eligible</v>
      </c>
      <c r="E29" s="367">
        <f t="shared" si="3"/>
        <v>33.712278276894722</v>
      </c>
      <c r="F29" s="407"/>
      <c r="G29" s="367">
        <f t="shared" si="5"/>
        <v>154.92342692554337</v>
      </c>
      <c r="H29" s="50">
        <f t="shared" si="4"/>
        <v>279.79043029254672</v>
      </c>
      <c r="I29" s="364"/>
      <c r="J29" s="398" t="s">
        <v>253</v>
      </c>
      <c r="M29" s="46"/>
      <c r="N29" s="30"/>
      <c r="O29" s="19"/>
      <c r="P29" s="6"/>
    </row>
    <row r="30" spans="1:17" ht="20.399999999999999">
      <c r="A30" s="340">
        <v>11</v>
      </c>
      <c r="B30" s="340" t="s">
        <v>176</v>
      </c>
      <c r="C30" s="367" t="str">
        <f>IF(AND(I13&gt;8,K13&gt;69,J13&gt;0),(J13+N13),"Not Eligible")</f>
        <v>Not Eligible</v>
      </c>
      <c r="D30" s="367" t="str">
        <f>IF(AND(K13&gt;69,I13&gt;8,J13&gt;0),(C13+H13+D13),"Not Eligible")</f>
        <v>Not Eligible</v>
      </c>
      <c r="E30" s="367">
        <f>I13+K13+E13</f>
        <v>76.240000000000009</v>
      </c>
      <c r="F30" s="407"/>
      <c r="G30" s="367">
        <f>(F13+G13+J13+M13+N13+E13)</f>
        <v>185.68331968331967</v>
      </c>
      <c r="H30" s="50">
        <f>SUM(C13:P13)</f>
        <v>490.85988435235146</v>
      </c>
      <c r="I30" s="364"/>
      <c r="J30" s="398" t="s">
        <v>253</v>
      </c>
      <c r="M30" s="46"/>
      <c r="N30" s="30"/>
      <c r="O30" s="19"/>
      <c r="P30" s="6"/>
    </row>
    <row r="31" spans="1:17" ht="20.399999999999999">
      <c r="A31" s="340">
        <v>12</v>
      </c>
      <c r="B31" s="340" t="s">
        <v>174</v>
      </c>
      <c r="C31" s="367" t="str">
        <f>IF(AND(I14&gt;8,K14&gt;69,J14&gt;0),(J14+N14),"Not Eligible")</f>
        <v>Not Eligible</v>
      </c>
      <c r="D31" s="367" t="str">
        <f>IF(AND(K14&gt;69,I14&gt;8,J14&gt;0),(C14+H14+D14),"Not Eligible")</f>
        <v>Not Eligible</v>
      </c>
      <c r="E31" s="367">
        <f>I14+K14+E14</f>
        <v>27.134761575673807</v>
      </c>
      <c r="F31" s="407"/>
      <c r="G31" s="367">
        <f>(F14+G14+J14+M14+N14+E14)</f>
        <v>27.134761575673807</v>
      </c>
      <c r="H31" s="50">
        <f>SUM(C14:P14)</f>
        <v>162.43833300424524</v>
      </c>
      <c r="I31" s="364"/>
      <c r="J31" s="398" t="s">
        <v>253</v>
      </c>
    </row>
    <row r="32" spans="1:17" ht="20.399999999999999">
      <c r="A32" s="340">
        <v>13</v>
      </c>
      <c r="B32" s="340" t="s">
        <v>211</v>
      </c>
      <c r="C32" s="367" t="str">
        <f t="shared" ref="C32" si="6">IF(AND(I15&gt;8,K15&gt;69,J15&gt;0),(J15+N15),"Not Eligible")</f>
        <v>Not Eligible</v>
      </c>
      <c r="D32" s="367" t="str">
        <f t="shared" ref="D32" si="7">IF(AND(K15&gt;69,I15&gt;8,J15&gt;0),(C15+H15+D15),"Not Eligible")</f>
        <v>Not Eligible</v>
      </c>
      <c r="E32" s="367">
        <f t="shared" ref="E32" si="8">I15+K15+E15</f>
        <v>55.794171849804187</v>
      </c>
      <c r="F32" s="407"/>
      <c r="G32" s="367">
        <f>(F15+G15+J15+M15+N15+E15)</f>
        <v>180.17886823450056</v>
      </c>
      <c r="H32" s="50">
        <f t="shared" ref="H32" si="9">SUM(C15:P15)</f>
        <v>437.74847607763775</v>
      </c>
      <c r="I32" s="364"/>
      <c r="J32" s="398" t="s">
        <v>253</v>
      </c>
    </row>
    <row r="33" spans="1:16" ht="20.399999999999999">
      <c r="A33" s="340">
        <v>14</v>
      </c>
      <c r="B33" s="340" t="s">
        <v>175</v>
      </c>
      <c r="C33" s="367"/>
      <c r="D33" s="367"/>
      <c r="E33" s="367"/>
      <c r="F33" s="407"/>
      <c r="G33" s="367"/>
      <c r="H33" s="50"/>
      <c r="I33" s="364"/>
      <c r="J33" s="398"/>
    </row>
    <row r="34" spans="1:16" s="57" customFormat="1">
      <c r="B34" s="371"/>
      <c r="C34" s="372"/>
      <c r="D34" s="372"/>
      <c r="E34" s="372"/>
      <c r="F34" s="408"/>
      <c r="G34" s="372"/>
      <c r="H34" s="372"/>
      <c r="I34" s="373"/>
      <c r="J34" s="58"/>
      <c r="K34" s="32"/>
      <c r="L34" s="113"/>
      <c r="M34" s="58"/>
      <c r="N34" s="58"/>
      <c r="O34" s="58"/>
      <c r="P34" s="33"/>
    </row>
    <row r="35" spans="1:16" s="57" customFormat="1">
      <c r="B35" s="371"/>
      <c r="C35" s="367">
        <f>MAX(C21:C33)</f>
        <v>50</v>
      </c>
      <c r="D35" s="367">
        <f>MAX(D21:D33)</f>
        <v>143.96774193548387</v>
      </c>
      <c r="E35" s="367">
        <f>MAX(E21:E33)</f>
        <v>470.94873071658969</v>
      </c>
      <c r="F35" s="409"/>
      <c r="G35" s="367">
        <f>MAX(G21:G31)</f>
        <v>407.94534288086311</v>
      </c>
      <c r="H35" s="372"/>
      <c r="I35" s="373"/>
      <c r="J35" s="58"/>
      <c r="K35" s="32"/>
      <c r="L35" s="113"/>
      <c r="M35" s="58"/>
      <c r="N35" s="58"/>
      <c r="O35" s="58"/>
      <c r="P35" s="33"/>
    </row>
    <row r="36" spans="1:16" s="57" customFormat="1" ht="14.4">
      <c r="B36" s="297" t="s">
        <v>42</v>
      </c>
      <c r="D36" s="136"/>
      <c r="G36" s="69"/>
      <c r="H36" s="32"/>
      <c r="I36" s="58"/>
      <c r="J36" s="58"/>
      <c r="K36" s="32"/>
      <c r="L36" s="113"/>
      <c r="M36" s="58"/>
      <c r="N36" s="58"/>
      <c r="O36" s="58"/>
      <c r="P36" s="33"/>
    </row>
    <row r="37" spans="1:16" s="57" customFormat="1" ht="62.4">
      <c r="B37" s="406" t="s">
        <v>205</v>
      </c>
      <c r="C37" s="529" t="s">
        <v>177</v>
      </c>
      <c r="D37" s="529"/>
      <c r="E37" s="529"/>
      <c r="F37" s="529"/>
      <c r="G37" s="69"/>
      <c r="H37" s="32"/>
      <c r="I37" s="58"/>
      <c r="J37" s="33"/>
      <c r="K37" s="162"/>
      <c r="L37" s="113"/>
      <c r="M37" s="33"/>
      <c r="N37" s="33"/>
      <c r="O37" s="33"/>
      <c r="P37" s="33"/>
    </row>
    <row r="38" spans="1:16" s="57" customFormat="1" ht="20.25" customHeight="1">
      <c r="B38" s="378" t="s">
        <v>202</v>
      </c>
      <c r="C38" s="535" t="s">
        <v>255</v>
      </c>
      <c r="D38" s="536"/>
      <c r="E38" s="536"/>
      <c r="F38" s="537"/>
      <c r="G38" s="69"/>
      <c r="H38" s="25"/>
      <c r="I38" s="58"/>
      <c r="J38" s="33"/>
      <c r="K38" s="162"/>
      <c r="L38" s="113"/>
      <c r="M38" s="33"/>
      <c r="N38" s="33"/>
      <c r="O38" s="33"/>
      <c r="P38" s="33"/>
    </row>
    <row r="39" spans="1:16" s="57" customFormat="1" ht="19.5" customHeight="1">
      <c r="B39" s="378" t="s">
        <v>203</v>
      </c>
      <c r="C39" s="538" t="s">
        <v>255</v>
      </c>
      <c r="D39" s="539"/>
      <c r="E39" s="539"/>
      <c r="F39" s="540"/>
      <c r="G39" s="528"/>
      <c r="H39" s="528"/>
      <c r="I39" s="528"/>
      <c r="J39" s="528"/>
      <c r="K39" s="162"/>
      <c r="L39" s="113"/>
      <c r="M39" s="33"/>
      <c r="N39" s="33"/>
      <c r="O39" s="33"/>
      <c r="P39" s="33"/>
    </row>
    <row r="40" spans="1:16" s="427" customFormat="1" ht="31.5" customHeight="1">
      <c r="B40" s="406" t="s">
        <v>206</v>
      </c>
      <c r="C40" s="529" t="s">
        <v>177</v>
      </c>
      <c r="D40" s="529"/>
      <c r="E40" s="529"/>
      <c r="F40" s="529"/>
      <c r="G40" s="428"/>
      <c r="H40" s="429"/>
      <c r="I40" s="429"/>
      <c r="J40" s="429"/>
      <c r="K40" s="430"/>
      <c r="L40" s="431"/>
      <c r="M40" s="429"/>
      <c r="N40" s="429"/>
      <c r="O40" s="429"/>
      <c r="P40" s="429"/>
    </row>
    <row r="41" spans="1:16" s="57" customFormat="1" ht="14.4" customHeight="1">
      <c r="B41" s="378" t="s">
        <v>209</v>
      </c>
      <c r="C41" s="533" t="s">
        <v>171</v>
      </c>
      <c r="D41" s="533"/>
      <c r="E41" s="533"/>
      <c r="F41" s="533"/>
      <c r="G41" s="69"/>
      <c r="H41" s="33"/>
      <c r="I41" s="33"/>
      <c r="J41" s="33"/>
      <c r="K41" s="162"/>
      <c r="L41" s="113"/>
      <c r="M41" s="33"/>
      <c r="N41" s="33"/>
      <c r="O41" s="33"/>
      <c r="P41" s="33"/>
    </row>
    <row r="42" spans="1:16" ht="14.4" customHeight="1">
      <c r="B42" s="379" t="s">
        <v>80</v>
      </c>
      <c r="C42" s="529" t="s">
        <v>171</v>
      </c>
      <c r="D42" s="529"/>
      <c r="E42" s="529"/>
      <c r="F42" s="529"/>
      <c r="G42" s="69"/>
      <c r="K42" s="382"/>
    </row>
    <row r="43" spans="1:16" s="57" customFormat="1" ht="14.4" customHeight="1">
      <c r="B43" s="378" t="s">
        <v>199</v>
      </c>
      <c r="C43" s="529" t="s">
        <v>177</v>
      </c>
      <c r="D43" s="529"/>
      <c r="E43" s="529"/>
      <c r="F43" s="529"/>
      <c r="G43" s="69"/>
      <c r="H43" s="33"/>
      <c r="I43" s="33"/>
      <c r="J43" s="385"/>
      <c r="K43" s="162"/>
      <c r="L43" s="113"/>
      <c r="M43" s="33"/>
      <c r="N43" s="33"/>
      <c r="O43" s="33"/>
      <c r="P43" s="33"/>
    </row>
    <row r="44" spans="1:16" s="57" customFormat="1" ht="14.4" customHeight="1">
      <c r="B44" s="378" t="s">
        <v>64</v>
      </c>
      <c r="C44" s="534" t="s">
        <v>171</v>
      </c>
      <c r="D44" s="527"/>
      <c r="E44" s="527"/>
      <c r="F44" s="527"/>
      <c r="G44" s="384"/>
      <c r="H44" s="33"/>
      <c r="I44" s="33"/>
      <c r="J44" s="33"/>
      <c r="K44" s="383"/>
      <c r="L44" s="113"/>
      <c r="M44" s="33"/>
      <c r="N44" s="33"/>
      <c r="O44" s="33"/>
      <c r="P44" s="33"/>
    </row>
    <row r="45" spans="1:16" s="57" customFormat="1" ht="31.5" customHeight="1">
      <c r="B45" s="406" t="s">
        <v>207</v>
      </c>
      <c r="C45" s="527" t="s">
        <v>170</v>
      </c>
      <c r="D45" s="527"/>
      <c r="E45" s="527"/>
      <c r="F45" s="527"/>
      <c r="G45" s="69"/>
      <c r="H45" s="33"/>
      <c r="I45" s="33"/>
      <c r="J45" s="33"/>
      <c r="K45" s="162"/>
      <c r="L45" s="113"/>
      <c r="M45" s="33"/>
      <c r="N45" s="33"/>
      <c r="O45" s="33"/>
      <c r="P45" s="33"/>
    </row>
    <row r="46" spans="1:16" ht="14.4" customHeight="1">
      <c r="B46" s="378" t="s">
        <v>65</v>
      </c>
      <c r="C46" s="527" t="s">
        <v>177</v>
      </c>
      <c r="D46" s="527"/>
      <c r="E46" s="527"/>
      <c r="F46" s="527"/>
      <c r="G46" s="69"/>
      <c r="H46" s="33"/>
      <c r="I46" s="33"/>
      <c r="J46" s="6"/>
      <c r="K46" s="160"/>
      <c r="L46" s="18"/>
      <c r="M46" s="6"/>
      <c r="N46" s="6"/>
      <c r="O46" s="6"/>
      <c r="P46" s="6"/>
    </row>
    <row r="47" spans="1:16" ht="18" customHeight="1">
      <c r="B47" s="380" t="s">
        <v>68</v>
      </c>
      <c r="C47" s="532" t="s">
        <v>173</v>
      </c>
      <c r="D47" s="532"/>
      <c r="E47" s="532"/>
      <c r="F47" s="532"/>
      <c r="G47" s="69"/>
      <c r="H47" s="6"/>
      <c r="I47" s="6"/>
    </row>
    <row r="48" spans="1:16" ht="15.6">
      <c r="B48" s="380" t="s">
        <v>66</v>
      </c>
      <c r="C48" s="532" t="s">
        <v>210</v>
      </c>
      <c r="D48" s="532"/>
      <c r="E48" s="532"/>
      <c r="F48" s="532"/>
      <c r="G48" s="69"/>
    </row>
    <row r="49" spans="2:12" ht="15.6">
      <c r="B49" s="378" t="s">
        <v>201</v>
      </c>
      <c r="C49" s="530" t="s">
        <v>230</v>
      </c>
      <c r="D49" s="531"/>
      <c r="E49" s="531"/>
      <c r="F49" s="531"/>
      <c r="G49" s="17"/>
    </row>
    <row r="50" spans="2:12" ht="15.6">
      <c r="B50" s="379" t="s">
        <v>204</v>
      </c>
      <c r="C50" s="532" t="s">
        <v>256</v>
      </c>
      <c r="D50" s="532"/>
      <c r="E50" s="532"/>
      <c r="F50" s="532"/>
    </row>
    <row r="51" spans="2:12" ht="31.2">
      <c r="B51" s="381" t="s">
        <v>265</v>
      </c>
      <c r="C51" s="386" t="str">
        <f>B21</f>
        <v>Univ of Minnesota-Duluth</v>
      </c>
      <c r="D51" s="400"/>
      <c r="E51" s="400"/>
      <c r="F51" s="400"/>
      <c r="G51" s="69"/>
      <c r="I51" s="432"/>
    </row>
    <row r="52" spans="2:12" ht="31.2">
      <c r="B52" s="381" t="s">
        <v>169</v>
      </c>
      <c r="C52" s="530" t="s">
        <v>257</v>
      </c>
      <c r="D52" s="531"/>
      <c r="E52" s="531"/>
      <c r="F52" s="531"/>
      <c r="G52" s="321" t="s">
        <v>42</v>
      </c>
      <c r="H52" s="112"/>
      <c r="I52" s="112"/>
      <c r="J52" s="112"/>
      <c r="K52" s="163"/>
    </row>
    <row r="53" spans="2:12" s="112" customFormat="1" ht="15.6">
      <c r="B53" s="379" t="s">
        <v>200</v>
      </c>
      <c r="C53" s="541" t="s">
        <v>258</v>
      </c>
      <c r="D53" s="542"/>
      <c r="E53" s="542"/>
      <c r="F53" s="543"/>
      <c r="G53" s="308"/>
      <c r="K53" s="322"/>
      <c r="L53" s="2"/>
    </row>
    <row r="54" spans="2:12" s="1" customFormat="1" ht="15.6">
      <c r="B54" s="523" t="s">
        <v>260</v>
      </c>
      <c r="C54" s="544" t="s">
        <v>259</v>
      </c>
      <c r="D54" s="545"/>
      <c r="E54" s="545"/>
      <c r="F54" s="546"/>
      <c r="G54" s="69"/>
      <c r="K54" s="163"/>
      <c r="L54" s="53"/>
    </row>
    <row r="55" spans="2:12" s="1" customFormat="1" ht="31.2">
      <c r="B55" s="523" t="s">
        <v>261</v>
      </c>
      <c r="C55" s="529" t="s">
        <v>177</v>
      </c>
      <c r="D55" s="529"/>
      <c r="E55" s="529"/>
      <c r="F55" s="529"/>
      <c r="K55" s="163"/>
      <c r="L55" s="53"/>
    </row>
    <row r="56" spans="2:12" s="1" customFormat="1">
      <c r="B56" s="405" t="s">
        <v>208</v>
      </c>
      <c r="C56" s="547" t="s">
        <v>171</v>
      </c>
      <c r="D56" s="548"/>
      <c r="E56" s="548"/>
      <c r="F56" s="549"/>
      <c r="G56" s="238"/>
      <c r="H56" s="522"/>
      <c r="I56" s="522"/>
      <c r="J56" s="522"/>
      <c r="K56" s="163"/>
      <c r="L56" s="53"/>
    </row>
    <row r="57" spans="2:12" s="1" customFormat="1">
      <c r="B57" s="164"/>
      <c r="C57" s="112" t="s">
        <v>177</v>
      </c>
      <c r="D57" s="53"/>
      <c r="K57" s="163"/>
      <c r="L57" s="53"/>
    </row>
    <row r="58" spans="2:12" s="1" customFormat="1">
      <c r="B58" s="164"/>
      <c r="C58" s="112" t="s">
        <v>226</v>
      </c>
      <c r="D58" s="53"/>
      <c r="K58" s="163"/>
      <c r="L58" s="53"/>
    </row>
    <row r="59" spans="2:12" s="1" customFormat="1">
      <c r="B59" s="164"/>
      <c r="C59" s="112" t="s">
        <v>173</v>
      </c>
      <c r="D59" s="53"/>
      <c r="K59" s="163"/>
      <c r="L59" s="53"/>
    </row>
    <row r="60" spans="2:12" s="1" customFormat="1">
      <c r="B60" s="164"/>
      <c r="C60" s="112" t="s">
        <v>178</v>
      </c>
      <c r="D60" s="53"/>
      <c r="K60" s="163"/>
      <c r="L60" s="53"/>
    </row>
    <row r="61" spans="2:12">
      <c r="C61" s="112" t="s">
        <v>175</v>
      </c>
    </row>
  </sheetData>
  <mergeCells count="20">
    <mergeCell ref="C53:F53"/>
    <mergeCell ref="C54:F54"/>
    <mergeCell ref="C55:F55"/>
    <mergeCell ref="C56:F56"/>
    <mergeCell ref="C37:F37"/>
    <mergeCell ref="C41:F41"/>
    <mergeCell ref="C42:F42"/>
    <mergeCell ref="C43:F43"/>
    <mergeCell ref="C44:F44"/>
    <mergeCell ref="C38:F38"/>
    <mergeCell ref="C39:F39"/>
    <mergeCell ref="C46:F46"/>
    <mergeCell ref="C45:F45"/>
    <mergeCell ref="G39:J39"/>
    <mergeCell ref="C40:F40"/>
    <mergeCell ref="C52:F52"/>
    <mergeCell ref="C47:F47"/>
    <mergeCell ref="C48:F48"/>
    <mergeCell ref="C49:F49"/>
    <mergeCell ref="C50:F50"/>
  </mergeCells>
  <phoneticPr fontId="27" type="noConversion"/>
  <printOptions gridLines="1"/>
  <pageMargins left="0.75" right="0.75" top="1" bottom="1" header="0.5" footer="0.5"/>
  <pageSetup scale="46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6"/>
  <sheetViews>
    <sheetView zoomScaleNormal="100" zoomScalePageLayoutView="125" workbookViewId="0">
      <pane xSplit="3" ySplit="1" topLeftCell="D2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22.21875" defaultRowHeight="13.2"/>
  <cols>
    <col min="1" max="1" width="20" customWidth="1"/>
    <col min="2" max="2" width="51.21875" customWidth="1"/>
    <col min="3" max="4" width="14.88671875" customWidth="1"/>
    <col min="5" max="5" width="8.77734375" customWidth="1"/>
    <col min="6" max="6" width="12.88671875" customWidth="1"/>
    <col min="7" max="7" width="11.21875" customWidth="1"/>
    <col min="8" max="8" width="8.21875" customWidth="1"/>
    <col min="9" max="9" width="11.33203125" customWidth="1"/>
    <col min="10" max="10" width="1.44140625" customWidth="1"/>
    <col min="11" max="11" width="13.77734375" customWidth="1"/>
    <col min="12" max="12" width="10.21875" customWidth="1"/>
    <col min="13" max="13" width="7.109375" customWidth="1"/>
    <col min="14" max="14" width="2.33203125" customWidth="1"/>
    <col min="15" max="15" width="12" customWidth="1"/>
    <col min="16" max="16" width="7.109375" customWidth="1"/>
    <col min="17" max="17" width="19.109375" customWidth="1"/>
  </cols>
  <sheetData>
    <row r="1" spans="1:17">
      <c r="B1" s="112" t="s">
        <v>218</v>
      </c>
    </row>
    <row r="2" spans="1:17">
      <c r="B2" s="238" t="s">
        <v>264</v>
      </c>
    </row>
    <row r="3" spans="1:17" s="132" customFormat="1" ht="37.5" customHeight="1">
      <c r="A3" s="447" t="s">
        <v>186</v>
      </c>
      <c r="B3" s="447" t="s">
        <v>187</v>
      </c>
      <c r="C3" s="447" t="s">
        <v>86</v>
      </c>
      <c r="D3" s="447" t="s">
        <v>188</v>
      </c>
      <c r="E3" s="447" t="s">
        <v>189</v>
      </c>
      <c r="F3" s="447" t="s">
        <v>190</v>
      </c>
      <c r="G3" s="447" t="s">
        <v>191</v>
      </c>
      <c r="H3" s="447" t="s">
        <v>87</v>
      </c>
      <c r="I3" s="447"/>
      <c r="J3" s="447" t="s">
        <v>192</v>
      </c>
      <c r="K3" s="447" t="s">
        <v>88</v>
      </c>
      <c r="L3" s="447" t="s">
        <v>89</v>
      </c>
      <c r="M3" s="447"/>
      <c r="N3" s="447" t="s">
        <v>90</v>
      </c>
      <c r="O3" s="447" t="s">
        <v>96</v>
      </c>
      <c r="P3" s="447" t="s">
        <v>78</v>
      </c>
      <c r="Q3" s="132" t="s">
        <v>56</v>
      </c>
    </row>
    <row r="4" spans="1:17" s="397" customFormat="1" ht="14.4">
      <c r="A4" s="447" t="s">
        <v>231</v>
      </c>
      <c r="B4" s="447" t="s">
        <v>232</v>
      </c>
      <c r="C4" s="447" t="s">
        <v>232</v>
      </c>
      <c r="D4" s="447" t="s">
        <v>232</v>
      </c>
      <c r="E4" s="447" t="s">
        <v>232</v>
      </c>
      <c r="F4" s="447" t="s">
        <v>232</v>
      </c>
      <c r="G4" s="447" t="s">
        <v>232</v>
      </c>
      <c r="H4" s="447" t="s">
        <v>232</v>
      </c>
      <c r="I4" s="447"/>
      <c r="J4" s="447">
        <v>204.74</v>
      </c>
      <c r="K4" s="447">
        <v>281.20999999999998</v>
      </c>
      <c r="L4" s="447">
        <v>2</v>
      </c>
      <c r="M4" s="447"/>
      <c r="N4" s="447">
        <v>433.49</v>
      </c>
      <c r="O4" s="447">
        <v>25.87</v>
      </c>
      <c r="P4" s="447">
        <v>7</v>
      </c>
      <c r="Q4" s="448">
        <v>307.08</v>
      </c>
    </row>
    <row r="5" spans="1:17" s="397" customFormat="1" ht="14.4">
      <c r="A5" s="517" t="s">
        <v>233</v>
      </c>
      <c r="B5" s="447" t="s">
        <v>232</v>
      </c>
      <c r="C5" s="447" t="s">
        <v>232</v>
      </c>
      <c r="D5" s="447" t="s">
        <v>232</v>
      </c>
      <c r="E5" s="447" t="s">
        <v>232</v>
      </c>
      <c r="F5" s="447" t="s">
        <v>232</v>
      </c>
      <c r="G5" s="447" t="s">
        <v>232</v>
      </c>
      <c r="H5" s="447" t="s">
        <v>232</v>
      </c>
      <c r="I5" s="447"/>
      <c r="J5" s="447">
        <v>205.32</v>
      </c>
      <c r="K5" s="447">
        <v>283.29000000000002</v>
      </c>
      <c r="L5" s="447">
        <v>1</v>
      </c>
      <c r="M5" s="447"/>
      <c r="N5" s="447">
        <v>368.34</v>
      </c>
      <c r="O5" s="447">
        <v>38.590000000000003</v>
      </c>
      <c r="P5" s="447">
        <v>4</v>
      </c>
      <c r="Q5" s="448">
        <v>321.88</v>
      </c>
    </row>
    <row r="6" spans="1:17" s="397" customFormat="1" ht="14.4">
      <c r="A6" s="447" t="s">
        <v>234</v>
      </c>
      <c r="B6" s="447" t="s">
        <v>232</v>
      </c>
      <c r="C6" s="447" t="s">
        <v>235</v>
      </c>
      <c r="D6" s="447" t="s">
        <v>235</v>
      </c>
      <c r="E6" s="447" t="s">
        <v>235</v>
      </c>
      <c r="F6" s="447" t="s">
        <v>235</v>
      </c>
      <c r="G6" s="447" t="s">
        <v>232</v>
      </c>
      <c r="H6" s="447" t="s">
        <v>235</v>
      </c>
      <c r="I6" s="447"/>
      <c r="J6" s="447">
        <v>158.66</v>
      </c>
      <c r="K6" s="447">
        <v>10</v>
      </c>
      <c r="L6" s="447">
        <v>9</v>
      </c>
      <c r="M6" s="447"/>
      <c r="N6" s="447" t="s">
        <v>236</v>
      </c>
      <c r="O6" s="447">
        <v>0</v>
      </c>
      <c r="P6" s="447">
        <v>10</v>
      </c>
      <c r="Q6" s="448">
        <v>10</v>
      </c>
    </row>
    <row r="7" spans="1:17" ht="14.4">
      <c r="A7" s="447" t="s">
        <v>237</v>
      </c>
      <c r="B7" s="447" t="s">
        <v>232</v>
      </c>
      <c r="C7" s="447" t="s">
        <v>232</v>
      </c>
      <c r="D7" s="447" t="s">
        <v>232</v>
      </c>
      <c r="E7" s="447" t="s">
        <v>232</v>
      </c>
      <c r="F7" s="447" t="s">
        <v>232</v>
      </c>
      <c r="G7" s="447" t="s">
        <v>232</v>
      </c>
      <c r="H7" s="447" t="s">
        <v>232</v>
      </c>
      <c r="I7" s="447"/>
      <c r="J7" s="447">
        <v>182.9</v>
      </c>
      <c r="K7" s="447">
        <v>203.21</v>
      </c>
      <c r="L7" s="447">
        <v>4</v>
      </c>
      <c r="M7" s="447"/>
      <c r="N7" s="447">
        <v>309.89</v>
      </c>
      <c r="O7" s="447">
        <v>50</v>
      </c>
      <c r="P7" s="447">
        <v>1</v>
      </c>
      <c r="Q7" s="448">
        <v>253.21</v>
      </c>
    </row>
    <row r="8" spans="1:17" ht="14.4">
      <c r="A8" s="447" t="s">
        <v>238</v>
      </c>
      <c r="B8" s="447" t="s">
        <v>232</v>
      </c>
      <c r="C8" s="447" t="s">
        <v>232</v>
      </c>
      <c r="D8" s="447" t="s">
        <v>232</v>
      </c>
      <c r="E8" s="447" t="s">
        <v>232</v>
      </c>
      <c r="F8" s="447" t="s">
        <v>232</v>
      </c>
      <c r="G8" s="447" t="s">
        <v>232</v>
      </c>
      <c r="H8" s="447" t="s">
        <v>232</v>
      </c>
      <c r="I8" s="447"/>
      <c r="J8" s="447">
        <v>201.47</v>
      </c>
      <c r="K8" s="447">
        <v>269.54000000000002</v>
      </c>
      <c r="L8" s="447">
        <v>3</v>
      </c>
      <c r="M8" s="447"/>
      <c r="N8" s="447">
        <v>420.25</v>
      </c>
      <c r="O8" s="447">
        <v>28.45</v>
      </c>
      <c r="P8" s="447">
        <v>6</v>
      </c>
      <c r="Q8" s="448">
        <v>297.99</v>
      </c>
    </row>
    <row r="9" spans="1:17" ht="14.4">
      <c r="A9" s="447" t="s">
        <v>239</v>
      </c>
      <c r="B9" s="447" t="s">
        <v>232</v>
      </c>
      <c r="C9" s="447" t="s">
        <v>232</v>
      </c>
      <c r="D9" s="447" t="s">
        <v>232</v>
      </c>
      <c r="E9" s="447" t="s">
        <v>232</v>
      </c>
      <c r="F9" s="447" t="s">
        <v>235</v>
      </c>
      <c r="G9" s="447" t="s">
        <v>232</v>
      </c>
      <c r="H9" s="447" t="s">
        <v>235</v>
      </c>
      <c r="I9" s="447"/>
      <c r="J9" s="447">
        <v>172.25</v>
      </c>
      <c r="K9" s="447">
        <v>20</v>
      </c>
      <c r="L9" s="447">
        <v>6</v>
      </c>
      <c r="M9" s="447"/>
      <c r="N9" s="447">
        <v>317.08</v>
      </c>
      <c r="O9" s="447">
        <v>48.6</v>
      </c>
      <c r="P9" s="447">
        <v>3</v>
      </c>
      <c r="Q9" s="448">
        <v>68.599999999999994</v>
      </c>
    </row>
    <row r="10" spans="1:17" ht="14.4">
      <c r="A10" s="447" t="s">
        <v>240</v>
      </c>
      <c r="B10" s="447" t="s">
        <v>232</v>
      </c>
      <c r="C10" s="447" t="s">
        <v>232</v>
      </c>
      <c r="D10" s="447" t="s">
        <v>232</v>
      </c>
      <c r="E10" s="447" t="s">
        <v>232</v>
      </c>
      <c r="F10" s="447" t="s">
        <v>235</v>
      </c>
      <c r="G10" s="447" t="s">
        <v>232</v>
      </c>
      <c r="H10" s="447" t="s">
        <v>235</v>
      </c>
      <c r="I10" s="447"/>
      <c r="J10" s="447">
        <v>171.15</v>
      </c>
      <c r="K10" s="447">
        <v>20</v>
      </c>
      <c r="L10" s="447">
        <v>5</v>
      </c>
      <c r="M10" s="447"/>
      <c r="N10" s="447">
        <v>415.77</v>
      </c>
      <c r="O10" s="447">
        <v>29.33</v>
      </c>
      <c r="P10" s="447">
        <v>5</v>
      </c>
      <c r="Q10" s="448">
        <v>49.33</v>
      </c>
    </row>
    <row r="11" spans="1:17" ht="14.4">
      <c r="A11" s="447" t="s">
        <v>241</v>
      </c>
      <c r="B11" s="447" t="s">
        <v>232</v>
      </c>
      <c r="C11" s="447" t="s">
        <v>235</v>
      </c>
      <c r="D11" s="447" t="s">
        <v>235</v>
      </c>
      <c r="E11" s="447" t="s">
        <v>235</v>
      </c>
      <c r="F11" s="447" t="s">
        <v>235</v>
      </c>
      <c r="G11" s="447" t="s">
        <v>232</v>
      </c>
      <c r="H11" s="447" t="s">
        <v>235</v>
      </c>
      <c r="I11" s="447"/>
      <c r="J11" s="447">
        <v>0</v>
      </c>
      <c r="K11" s="447">
        <v>10</v>
      </c>
      <c r="L11" s="447">
        <v>8</v>
      </c>
      <c r="M11" s="447"/>
      <c r="N11" s="447" t="s">
        <v>236</v>
      </c>
      <c r="O11" s="447">
        <v>0</v>
      </c>
      <c r="P11" s="447">
        <v>9</v>
      </c>
      <c r="Q11" s="448">
        <v>10</v>
      </c>
    </row>
    <row r="12" spans="1:17" s="397" customFormat="1" ht="14.4">
      <c r="A12" s="447" t="s">
        <v>242</v>
      </c>
      <c r="B12" s="447" t="s">
        <v>232</v>
      </c>
      <c r="C12" s="447" t="s">
        <v>235</v>
      </c>
      <c r="D12" s="447" t="s">
        <v>235</v>
      </c>
      <c r="E12" s="447" t="s">
        <v>235</v>
      </c>
      <c r="F12" s="447" t="s">
        <v>235</v>
      </c>
      <c r="G12" s="447" t="s">
        <v>235</v>
      </c>
      <c r="H12" s="447" t="s">
        <v>235</v>
      </c>
      <c r="I12" s="447"/>
      <c r="J12" s="447">
        <v>0</v>
      </c>
      <c r="K12" s="447">
        <v>10</v>
      </c>
      <c r="L12" s="447">
        <v>12</v>
      </c>
      <c r="M12" s="447"/>
      <c r="N12" s="447" t="s">
        <v>236</v>
      </c>
      <c r="O12" s="447">
        <v>0</v>
      </c>
      <c r="P12" s="447">
        <v>12</v>
      </c>
      <c r="Q12" s="448">
        <v>10</v>
      </c>
    </row>
    <row r="13" spans="1:17" ht="14.4">
      <c r="A13" s="447" t="s">
        <v>243</v>
      </c>
      <c r="B13" s="447" t="s">
        <v>232</v>
      </c>
      <c r="C13" s="447" t="s">
        <v>235</v>
      </c>
      <c r="D13" s="447" t="s">
        <v>235</v>
      </c>
      <c r="E13" s="447" t="s">
        <v>235</v>
      </c>
      <c r="F13" s="447" t="s">
        <v>235</v>
      </c>
      <c r="G13" s="447" t="s">
        <v>232</v>
      </c>
      <c r="H13" s="447" t="s">
        <v>235</v>
      </c>
      <c r="I13" s="447"/>
      <c r="J13" s="447">
        <v>153.88</v>
      </c>
      <c r="K13" s="447">
        <v>10</v>
      </c>
      <c r="L13" s="447">
        <v>11</v>
      </c>
      <c r="M13" s="447"/>
      <c r="N13" s="447">
        <v>311.2</v>
      </c>
      <c r="O13" s="447">
        <v>49.74</v>
      </c>
      <c r="P13" s="447">
        <v>2</v>
      </c>
      <c r="Q13" s="448">
        <v>59.74</v>
      </c>
    </row>
    <row r="14" spans="1:17" ht="14.4">
      <c r="A14" s="447" t="s">
        <v>244</v>
      </c>
      <c r="B14" s="447" t="s">
        <v>236</v>
      </c>
      <c r="C14" s="447" t="s">
        <v>236</v>
      </c>
      <c r="D14" s="447" t="s">
        <v>236</v>
      </c>
      <c r="E14" s="447" t="s">
        <v>236</v>
      </c>
      <c r="F14" s="447" t="s">
        <v>236</v>
      </c>
      <c r="G14" s="447" t="s">
        <v>236</v>
      </c>
      <c r="H14" s="447" t="s">
        <v>236</v>
      </c>
      <c r="I14" s="447"/>
      <c r="J14" s="447" t="s">
        <v>236</v>
      </c>
      <c r="K14" s="447" t="s">
        <v>236</v>
      </c>
      <c r="L14" s="447" t="s">
        <v>236</v>
      </c>
      <c r="M14" s="447"/>
      <c r="N14" s="447" t="s">
        <v>236</v>
      </c>
      <c r="O14" s="447">
        <v>0</v>
      </c>
      <c r="P14" s="447" t="s">
        <v>236</v>
      </c>
      <c r="Q14" s="448">
        <v>0</v>
      </c>
    </row>
    <row r="15" spans="1:17" ht="14.4">
      <c r="A15" s="447" t="s">
        <v>245</v>
      </c>
      <c r="B15" s="447" t="s">
        <v>232</v>
      </c>
      <c r="C15" s="447" t="s">
        <v>235</v>
      </c>
      <c r="D15" s="447" t="s">
        <v>235</v>
      </c>
      <c r="E15" s="447" t="s">
        <v>235</v>
      </c>
      <c r="F15" s="447" t="s">
        <v>235</v>
      </c>
      <c r="G15" s="447" t="s">
        <v>232</v>
      </c>
      <c r="H15" s="447" t="s">
        <v>235</v>
      </c>
      <c r="I15" s="447"/>
      <c r="J15" s="447">
        <v>24.76</v>
      </c>
      <c r="K15" s="447">
        <v>10</v>
      </c>
      <c r="L15" s="447">
        <v>10</v>
      </c>
      <c r="M15" s="447"/>
      <c r="N15" s="447" t="s">
        <v>236</v>
      </c>
      <c r="O15" s="447">
        <v>0</v>
      </c>
      <c r="P15" s="447">
        <v>11</v>
      </c>
      <c r="Q15" s="448">
        <v>10</v>
      </c>
    </row>
    <row r="16" spans="1:17" s="397" customFormat="1" ht="14.4">
      <c r="A16" s="447" t="s">
        <v>246</v>
      </c>
      <c r="B16" s="447" t="s">
        <v>232</v>
      </c>
      <c r="C16" s="447" t="s">
        <v>232</v>
      </c>
      <c r="D16" s="447" t="s">
        <v>232</v>
      </c>
      <c r="E16" s="447" t="s">
        <v>232</v>
      </c>
      <c r="F16" s="447" t="s">
        <v>235</v>
      </c>
      <c r="G16" s="447" t="s">
        <v>232</v>
      </c>
      <c r="H16" s="447" t="s">
        <v>235</v>
      </c>
      <c r="I16" s="447"/>
      <c r="J16" s="447">
        <v>134.1</v>
      </c>
      <c r="K16" s="447">
        <v>20</v>
      </c>
      <c r="L16" s="447">
        <v>7</v>
      </c>
      <c r="M16" s="447"/>
      <c r="N16" s="447">
        <v>553.19000000000005</v>
      </c>
      <c r="O16" s="447">
        <v>2.5</v>
      </c>
      <c r="P16" s="447">
        <v>8</v>
      </c>
      <c r="Q16" s="448">
        <v>22.5</v>
      </c>
    </row>
    <row r="18" spans="1:3" ht="14.4">
      <c r="A18" s="447" t="s">
        <v>148</v>
      </c>
      <c r="B18" s="447" t="s">
        <v>247</v>
      </c>
      <c r="C18" s="447">
        <v>182.9</v>
      </c>
    </row>
    <row r="19" spans="1:3" ht="14.4">
      <c r="A19" s="447" t="s">
        <v>149</v>
      </c>
      <c r="B19" s="447" t="s">
        <v>247</v>
      </c>
      <c r="C19" s="447">
        <v>205.32</v>
      </c>
    </row>
    <row r="21" spans="1:3" ht="14.4">
      <c r="A21" s="447" t="s">
        <v>150</v>
      </c>
      <c r="B21" s="447" t="s">
        <v>248</v>
      </c>
      <c r="C21" s="447">
        <v>0</v>
      </c>
    </row>
    <row r="22" spans="1:3" ht="14.4">
      <c r="A22" s="447" t="s">
        <v>151</v>
      </c>
      <c r="B22" s="447" t="s">
        <v>248</v>
      </c>
      <c r="C22" s="447">
        <v>1</v>
      </c>
    </row>
    <row r="24" spans="1:3" ht="14.4">
      <c r="A24" s="447" t="s">
        <v>193</v>
      </c>
      <c r="B24" s="447"/>
      <c r="C24" s="447"/>
    </row>
    <row r="25" spans="1:3" ht="14.4">
      <c r="A25" s="447" t="s">
        <v>194</v>
      </c>
      <c r="B25" s="447"/>
      <c r="C25" s="447"/>
    </row>
    <row r="26" spans="1:3" ht="14.4">
      <c r="A26" s="447" t="s">
        <v>91</v>
      </c>
      <c r="B26" s="447"/>
      <c r="C26" s="447"/>
    </row>
  </sheetData>
  <phoneticPr fontId="27" type="noConversion"/>
  <printOptions gridLines="1"/>
  <pageMargins left="0.25" right="0.25" top="1" bottom="1" header="0.5" footer="0.5"/>
  <pageSetup scale="64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7"/>
  <sheetViews>
    <sheetView zoomScale="70" zoomScaleNormal="70" zoomScalePageLayoutView="125" workbookViewId="0"/>
  </sheetViews>
  <sheetFormatPr defaultColWidth="8.88671875" defaultRowHeight="13.2"/>
  <cols>
    <col min="1" max="1" width="55.6640625" customWidth="1"/>
    <col min="2" max="2" width="16.6640625" customWidth="1"/>
    <col min="3" max="3" width="20.6640625" customWidth="1"/>
    <col min="4" max="4" width="18.77734375" customWidth="1"/>
    <col min="5" max="5" width="13.44140625" customWidth="1"/>
    <col min="6" max="6" width="15.44140625" customWidth="1"/>
    <col min="7" max="7" width="9.33203125" customWidth="1"/>
    <col min="8" max="8" width="10.77734375" customWidth="1"/>
    <col min="9" max="9" width="9.109375" customWidth="1"/>
    <col min="11" max="11" width="10" style="217" customWidth="1"/>
    <col min="12" max="12" width="27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36" customWidth="1"/>
    <col min="23" max="23" width="10" style="36" customWidth="1"/>
    <col min="24" max="25" width="8.6640625" style="36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34.799999999999997">
      <c r="A1" s="438" t="s">
        <v>217</v>
      </c>
      <c r="B1" s="468"/>
      <c r="C1" s="468"/>
      <c r="E1" s="468" t="s">
        <v>92</v>
      </c>
      <c r="F1" s="480">
        <f>MIN(B6:B18)</f>
        <v>4.8310000000000004</v>
      </c>
      <c r="G1" s="468"/>
      <c r="H1" s="468" t="s">
        <v>94</v>
      </c>
      <c r="I1" s="468"/>
      <c r="J1" s="488">
        <f>MIN(H6:H15)</f>
        <v>7.406779661016949</v>
      </c>
      <c r="K1" s="484"/>
      <c r="L1" s="471"/>
      <c r="M1" s="26"/>
      <c r="N1" s="26"/>
      <c r="O1" s="26"/>
      <c r="P1" s="103"/>
      <c r="Q1" s="72"/>
      <c r="R1" s="73"/>
      <c r="S1" s="73"/>
      <c r="T1" s="73"/>
      <c r="U1" s="73"/>
      <c r="V1" s="73"/>
      <c r="W1" s="73"/>
      <c r="X1" s="73"/>
      <c r="Y1" s="73"/>
      <c r="Z1" s="74"/>
      <c r="AA1" s="75"/>
      <c r="AB1" s="76"/>
      <c r="AC1" s="53"/>
      <c r="AD1" s="1"/>
      <c r="AE1" s="1"/>
      <c r="AF1" s="1"/>
    </row>
    <row r="2" spans="1:35">
      <c r="A2" s="68"/>
      <c r="B2" s="470"/>
      <c r="C2" s="470"/>
      <c r="E2" s="470" t="s">
        <v>93</v>
      </c>
      <c r="F2" s="480">
        <f>MAX(B6:B18)</f>
        <v>384.221</v>
      </c>
      <c r="G2" s="470"/>
      <c r="H2" s="470" t="s">
        <v>95</v>
      </c>
      <c r="I2" s="470"/>
      <c r="J2" s="501">
        <f>MAX(H6:H18)</f>
        <v>18.685714285714283</v>
      </c>
      <c r="K2" s="485"/>
      <c r="L2" s="474"/>
      <c r="M2" s="45"/>
      <c r="N2" s="45"/>
      <c r="O2" s="45"/>
      <c r="P2" s="104"/>
      <c r="Q2" s="79"/>
      <c r="R2" s="79"/>
      <c r="S2" s="73"/>
      <c r="T2" s="73"/>
      <c r="U2" s="73"/>
      <c r="V2" s="73"/>
      <c r="W2" s="73"/>
      <c r="X2" s="73"/>
      <c r="Y2" s="73"/>
      <c r="Z2" s="74"/>
      <c r="AA2" s="75"/>
      <c r="AB2" s="76"/>
      <c r="AC2" s="53"/>
      <c r="AD2" s="1"/>
      <c r="AE2" s="1"/>
      <c r="AF2" s="1"/>
    </row>
    <row r="3" spans="1:35">
      <c r="A3" s="250"/>
      <c r="B3" s="467" t="s">
        <v>81</v>
      </c>
      <c r="C3" s="469"/>
      <c r="D3" s="469"/>
      <c r="E3" s="469"/>
      <c r="F3" s="469"/>
      <c r="G3" s="469"/>
      <c r="H3" s="469"/>
      <c r="I3" s="469"/>
      <c r="J3" s="467"/>
      <c r="K3" s="486"/>
      <c r="L3" s="471"/>
      <c r="M3" s="22"/>
      <c r="N3" s="22"/>
      <c r="O3" s="22"/>
      <c r="P3" s="105"/>
      <c r="Q3" s="81"/>
      <c r="R3" s="79"/>
      <c r="S3" s="73"/>
      <c r="T3" s="73"/>
      <c r="U3" s="73"/>
      <c r="V3" s="73"/>
      <c r="W3" s="73"/>
      <c r="X3" s="73"/>
      <c r="Y3" s="73"/>
      <c r="Z3" s="74"/>
      <c r="AA3" s="75"/>
      <c r="AB3" s="76"/>
      <c r="AC3" s="53"/>
      <c r="AD3" s="1"/>
      <c r="AE3" s="1"/>
      <c r="AF3" s="1"/>
    </row>
    <row r="4" spans="1:35">
      <c r="A4" s="16"/>
      <c r="B4" s="467"/>
      <c r="C4" s="469"/>
      <c r="D4" s="469"/>
      <c r="E4" s="469" t="s">
        <v>42</v>
      </c>
      <c r="F4" s="469"/>
      <c r="G4" s="469"/>
      <c r="H4" s="469"/>
      <c r="I4" s="469"/>
      <c r="J4" s="469"/>
      <c r="K4" s="486"/>
      <c r="L4" s="471"/>
      <c r="M4" s="22"/>
      <c r="N4" s="22"/>
      <c r="O4" s="22"/>
      <c r="P4" s="105"/>
      <c r="Q4" s="81"/>
      <c r="R4" s="79"/>
      <c r="S4" s="73"/>
      <c r="T4" s="73"/>
      <c r="U4" s="73"/>
      <c r="V4" s="73"/>
      <c r="W4" s="73"/>
      <c r="X4" s="73"/>
      <c r="Y4" s="73"/>
      <c r="Z4" s="74"/>
      <c r="AA4" s="75"/>
      <c r="AB4" s="76"/>
      <c r="AC4" s="53"/>
      <c r="AD4" s="1"/>
      <c r="AE4" s="1"/>
      <c r="AF4" s="1"/>
    </row>
    <row r="5" spans="1:35" ht="26.4">
      <c r="B5" s="493" t="s">
        <v>140</v>
      </c>
      <c r="C5" s="472" t="s">
        <v>79</v>
      </c>
      <c r="D5" s="469" t="s">
        <v>27</v>
      </c>
      <c r="E5" s="469"/>
      <c r="F5" s="493" t="s">
        <v>144</v>
      </c>
      <c r="G5" s="493" t="s">
        <v>103</v>
      </c>
      <c r="H5" s="472" t="s">
        <v>135</v>
      </c>
      <c r="I5" s="472" t="s">
        <v>160</v>
      </c>
      <c r="J5" s="472" t="s">
        <v>161</v>
      </c>
      <c r="K5" s="500" t="s">
        <v>159</v>
      </c>
      <c r="L5" s="494" t="s">
        <v>104</v>
      </c>
      <c r="M5" s="20"/>
      <c r="N5" s="26"/>
      <c r="O5" s="26"/>
      <c r="P5" s="103"/>
      <c r="Q5" s="72"/>
      <c r="R5" s="72"/>
      <c r="S5" s="72"/>
      <c r="T5" s="72"/>
      <c r="U5" s="72"/>
      <c r="V5" s="72"/>
      <c r="W5" s="72"/>
      <c r="X5" s="72"/>
      <c r="Y5" s="72"/>
      <c r="Z5" s="71"/>
      <c r="AA5" s="82"/>
      <c r="AB5" s="83"/>
    </row>
    <row r="6" spans="1:35" ht="20.399999999999999">
      <c r="A6" s="340" t="s">
        <v>172</v>
      </c>
      <c r="B6" s="510">
        <v>10.116</v>
      </c>
      <c r="C6" s="498">
        <f>$B$21*B6+$B$22</f>
        <v>49.338312817944598</v>
      </c>
      <c r="D6" s="483">
        <f>RANK(C6,$C$6:$C$18)</f>
        <v>3</v>
      </c>
      <c r="E6" s="479"/>
      <c r="F6" s="512">
        <v>7.5999999999999998E-2</v>
      </c>
      <c r="G6" s="513">
        <v>1.3029999999999999</v>
      </c>
      <c r="H6" s="499">
        <f>G6/F6</f>
        <v>17.144736842105264</v>
      </c>
      <c r="I6" s="489">
        <f>$F$21*H6+$F$22</f>
        <v>43.168781029039906</v>
      </c>
      <c r="J6" s="483">
        <f>RANK(I6,$I$6:$I$18)</f>
        <v>3</v>
      </c>
      <c r="K6" s="475">
        <f>C6+I6</f>
        <v>92.507093846984503</v>
      </c>
      <c r="L6" s="495"/>
      <c r="M6" s="108"/>
      <c r="N6" s="26"/>
      <c r="O6" s="26"/>
      <c r="P6" s="106"/>
      <c r="Q6" s="72"/>
      <c r="R6" s="72"/>
      <c r="S6" s="72"/>
      <c r="T6" s="72"/>
      <c r="U6" s="72"/>
      <c r="V6" s="72"/>
      <c r="W6" s="72"/>
      <c r="X6" s="72"/>
      <c r="Y6" s="72"/>
      <c r="Z6" s="71"/>
      <c r="AA6" s="82"/>
      <c r="AB6" s="83"/>
      <c r="AH6" s="28"/>
      <c r="AI6" s="28"/>
    </row>
    <row r="7" spans="1:35" ht="20.399999999999999">
      <c r="A7" s="340" t="s">
        <v>171</v>
      </c>
      <c r="B7" s="511">
        <v>4.8310000000000004</v>
      </c>
      <c r="C7" s="507">
        <f t="shared" ref="C7:C15" si="0">$B$21*B7+$B$22</f>
        <v>50</v>
      </c>
      <c r="D7" s="504">
        <f t="shared" ref="D7:D15" si="1">RANK(C7,$C$6:$C$18)</f>
        <v>1</v>
      </c>
      <c r="E7" s="481"/>
      <c r="F7" s="514">
        <v>7.0000000000000007E-2</v>
      </c>
      <c r="G7" s="515">
        <v>1.3080000000000001</v>
      </c>
      <c r="H7" s="499">
        <f t="shared" ref="H7:H15" si="2">G7/F7</f>
        <v>18.685714285714283</v>
      </c>
      <c r="I7" s="505">
        <f t="shared" ref="I7:I15" si="3">$F$21*H7+$F$22</f>
        <v>49.999999999999986</v>
      </c>
      <c r="J7" s="504">
        <f t="shared" ref="J7:J15" si="4">RANK(I7,$I$6:$I$18)</f>
        <v>1</v>
      </c>
      <c r="K7" s="503">
        <f t="shared" ref="K7:K15" si="5">C7+I7</f>
        <v>99.999999999999986</v>
      </c>
      <c r="L7" s="495"/>
      <c r="M7" s="108"/>
      <c r="N7" s="26"/>
      <c r="O7" s="26"/>
      <c r="P7" s="103"/>
      <c r="Q7" s="72"/>
      <c r="R7" s="72"/>
      <c r="S7" s="72"/>
      <c r="T7" s="72"/>
      <c r="U7" s="72"/>
      <c r="V7" s="72"/>
      <c r="W7" s="72"/>
      <c r="X7" s="72"/>
      <c r="Y7" s="72"/>
      <c r="Z7" s="71"/>
      <c r="AA7" s="82"/>
      <c r="AB7" s="83"/>
      <c r="AH7" s="28"/>
      <c r="AI7" s="28"/>
    </row>
    <row r="8" spans="1:35" ht="20.399999999999999">
      <c r="A8" s="340" t="s">
        <v>170</v>
      </c>
      <c r="B8" s="511">
        <v>38</v>
      </c>
      <c r="C8" s="507">
        <f t="shared" si="0"/>
        <v>45.847208677086904</v>
      </c>
      <c r="D8" s="504">
        <f t="shared" si="1"/>
        <v>6</v>
      </c>
      <c r="E8" s="481"/>
      <c r="F8" s="514">
        <v>8.6999999999999994E-2</v>
      </c>
      <c r="G8" s="515">
        <v>1.3120000000000001</v>
      </c>
      <c r="H8" s="499">
        <f t="shared" si="2"/>
        <v>15.080459770114944</v>
      </c>
      <c r="I8" s="505">
        <f t="shared" si="3"/>
        <v>34.017752404979092</v>
      </c>
      <c r="J8" s="504">
        <f t="shared" si="4"/>
        <v>8</v>
      </c>
      <c r="K8" s="503">
        <f t="shared" si="5"/>
        <v>79.864961082066003</v>
      </c>
      <c r="L8" s="495"/>
      <c r="M8" s="108"/>
      <c r="N8" s="26"/>
      <c r="O8" s="26"/>
      <c r="P8" s="103"/>
      <c r="Q8" s="72"/>
      <c r="R8" s="72"/>
      <c r="S8" s="72"/>
      <c r="T8" s="72"/>
      <c r="U8" s="72"/>
      <c r="V8" s="72"/>
      <c r="W8" s="72"/>
      <c r="X8" s="72"/>
      <c r="Y8" s="72"/>
      <c r="Z8" s="71"/>
      <c r="AA8" s="82"/>
      <c r="AB8" s="83"/>
      <c r="AH8" s="28"/>
      <c r="AI8" s="28"/>
    </row>
    <row r="9" spans="1:35" s="167" customFormat="1" ht="20.399999999999999">
      <c r="A9" s="340" t="s">
        <v>177</v>
      </c>
      <c r="B9" s="511">
        <v>47.502000000000002</v>
      </c>
      <c r="C9" s="507">
        <f t="shared" si="0"/>
        <v>44.65754896017291</v>
      </c>
      <c r="D9" s="504">
        <f t="shared" si="1"/>
        <v>7</v>
      </c>
      <c r="E9" s="482"/>
      <c r="F9" s="514">
        <v>9.4E-2</v>
      </c>
      <c r="G9" s="515">
        <v>1.3109999999999999</v>
      </c>
      <c r="H9" s="499">
        <f t="shared" si="2"/>
        <v>13.946808510638297</v>
      </c>
      <c r="I9" s="505">
        <f t="shared" si="3"/>
        <v>28.992227844377837</v>
      </c>
      <c r="J9" s="504">
        <f t="shared" si="4"/>
        <v>9</v>
      </c>
      <c r="K9" s="503">
        <f t="shared" si="5"/>
        <v>73.649776804550754</v>
      </c>
      <c r="L9" s="495"/>
      <c r="M9" s="180"/>
      <c r="N9" s="176"/>
      <c r="O9" s="176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0"/>
      <c r="AB9" s="168"/>
      <c r="AC9" s="168"/>
      <c r="AH9" s="179"/>
      <c r="AI9" s="179"/>
    </row>
    <row r="10" spans="1:35" s="167" customFormat="1" ht="20.399999999999999">
      <c r="A10" s="340" t="s">
        <v>210</v>
      </c>
      <c r="B10" s="511">
        <v>12.576000000000001</v>
      </c>
      <c r="C10" s="507">
        <f t="shared" si="0"/>
        <v>49.03031840586204</v>
      </c>
      <c r="D10" s="504">
        <f t="shared" si="1"/>
        <v>4</v>
      </c>
      <c r="E10" s="482"/>
      <c r="F10" s="514">
        <v>7.1999999999999995E-2</v>
      </c>
      <c r="G10" s="515">
        <v>1.3109999999999999</v>
      </c>
      <c r="H10" s="499">
        <f t="shared" si="2"/>
        <v>18.208333333333332</v>
      </c>
      <c r="I10" s="505">
        <f t="shared" si="3"/>
        <v>47.8837498032144</v>
      </c>
      <c r="J10" s="504">
        <f t="shared" si="4"/>
        <v>2</v>
      </c>
      <c r="K10" s="503">
        <f t="shared" si="5"/>
        <v>96.914068209076447</v>
      </c>
      <c r="L10" s="495"/>
      <c r="M10" s="180"/>
      <c r="N10" s="176"/>
      <c r="O10" s="176"/>
      <c r="P10" s="181"/>
      <c r="Q10" s="181"/>
      <c r="R10" s="181"/>
      <c r="S10" s="181"/>
      <c r="T10" s="178"/>
      <c r="U10" s="178"/>
      <c r="V10" s="178"/>
      <c r="W10" s="178"/>
      <c r="X10" s="178"/>
      <c r="Y10" s="178"/>
      <c r="Z10" s="170"/>
      <c r="AB10" s="168"/>
      <c r="AC10" s="168"/>
      <c r="AH10" s="179"/>
      <c r="AI10" s="179"/>
    </row>
    <row r="11" spans="1:35" ht="20.399999999999999">
      <c r="A11" s="340" t="s">
        <v>173</v>
      </c>
      <c r="B11" s="511">
        <v>6.6130000000000004</v>
      </c>
      <c r="C11" s="507">
        <f t="shared" si="0"/>
        <v>49.776891852710932</v>
      </c>
      <c r="D11" s="504">
        <f t="shared" si="1"/>
        <v>2</v>
      </c>
      <c r="E11" s="479"/>
      <c r="F11" s="514">
        <v>8.1000000000000003E-2</v>
      </c>
      <c r="G11" s="515">
        <v>1.3120000000000001</v>
      </c>
      <c r="H11" s="499">
        <f t="shared" si="2"/>
        <v>16.197530864197532</v>
      </c>
      <c r="I11" s="505">
        <f t="shared" si="3"/>
        <v>38.969776382654032</v>
      </c>
      <c r="J11" s="504">
        <f t="shared" si="4"/>
        <v>4</v>
      </c>
      <c r="K11" s="503">
        <f t="shared" si="5"/>
        <v>88.746668235364965</v>
      </c>
      <c r="L11" s="495"/>
      <c r="M11" s="108"/>
      <c r="N11" s="26"/>
      <c r="O11" s="26"/>
      <c r="P11" s="106"/>
      <c r="Q11" s="85"/>
      <c r="R11" s="85"/>
      <c r="S11" s="85"/>
      <c r="T11" s="72"/>
      <c r="U11" s="72"/>
      <c r="V11" s="72"/>
      <c r="W11" s="72"/>
      <c r="X11" s="72"/>
      <c r="Y11" s="72"/>
      <c r="Z11" s="71"/>
      <c r="AA11" s="82"/>
      <c r="AB11" s="83"/>
      <c r="AH11" s="28"/>
      <c r="AI11" s="28"/>
    </row>
    <row r="12" spans="1:35" ht="23.4">
      <c r="A12" s="433" t="s">
        <v>179</v>
      </c>
      <c r="B12" s="511">
        <v>108.238</v>
      </c>
      <c r="C12" s="507">
        <f t="shared" si="0"/>
        <v>37.053342207227388</v>
      </c>
      <c r="D12" s="504">
        <f t="shared" si="1"/>
        <v>9</v>
      </c>
      <c r="E12" s="479"/>
      <c r="F12" s="514">
        <v>8.1000000000000003E-2</v>
      </c>
      <c r="G12" s="515">
        <v>1.31</v>
      </c>
      <c r="H12" s="499">
        <f t="shared" si="2"/>
        <v>16.172839506172838</v>
      </c>
      <c r="I12" s="505">
        <f t="shared" si="3"/>
        <v>38.860318535586515</v>
      </c>
      <c r="J12" s="504">
        <f t="shared" si="4"/>
        <v>5</v>
      </c>
      <c r="K12" s="503">
        <f t="shared" si="5"/>
        <v>75.913660742813903</v>
      </c>
      <c r="L12" s="495"/>
      <c r="M12" s="108"/>
      <c r="N12" s="26"/>
      <c r="O12" s="26"/>
      <c r="P12" s="106"/>
      <c r="Q12" s="85"/>
      <c r="R12" s="85"/>
      <c r="S12" s="85"/>
      <c r="T12" s="72"/>
      <c r="U12" s="72"/>
      <c r="V12" s="72"/>
      <c r="W12" s="72"/>
      <c r="X12" s="72"/>
      <c r="Y12" s="72"/>
      <c r="Z12" s="71"/>
      <c r="AA12" s="82"/>
      <c r="AB12" s="83"/>
      <c r="AH12" s="28"/>
      <c r="AI12" s="28"/>
    </row>
    <row r="13" spans="1:35" ht="20.399999999999999">
      <c r="A13" s="340" t="s">
        <v>178</v>
      </c>
      <c r="B13" s="511">
        <v>37.866999999999997</v>
      </c>
      <c r="C13" s="507">
        <f t="shared" si="0"/>
        <v>45.863860407496247</v>
      </c>
      <c r="D13" s="504">
        <f t="shared" si="1"/>
        <v>5</v>
      </c>
      <c r="E13" s="481"/>
      <c r="F13" s="514">
        <v>8.5999999999999993E-2</v>
      </c>
      <c r="G13" s="515">
        <v>1.3080000000000001</v>
      </c>
      <c r="H13" s="499">
        <f t="shared" si="2"/>
        <v>15.209302325581397</v>
      </c>
      <c r="I13" s="505">
        <f t="shared" si="3"/>
        <v>34.588916968626478</v>
      </c>
      <c r="J13" s="504">
        <f t="shared" si="4"/>
        <v>7</v>
      </c>
      <c r="K13" s="503">
        <f t="shared" si="5"/>
        <v>80.452777376122725</v>
      </c>
      <c r="L13" s="495"/>
      <c r="M13" s="108"/>
      <c r="N13" s="26"/>
      <c r="O13" s="26"/>
      <c r="P13" s="103"/>
      <c r="Q13" s="72"/>
      <c r="R13" s="72"/>
      <c r="S13" s="72"/>
      <c r="T13" s="72"/>
      <c r="U13" s="72"/>
      <c r="V13" s="72"/>
      <c r="W13" s="72"/>
      <c r="X13" s="72"/>
      <c r="Y13" s="72"/>
      <c r="Z13" s="71"/>
      <c r="AA13" s="82"/>
      <c r="AB13" s="83"/>
      <c r="AH13" s="28"/>
      <c r="AI13" s="28"/>
    </row>
    <row r="14" spans="1:35" ht="20.399999999999999">
      <c r="A14" s="340" t="s">
        <v>180</v>
      </c>
      <c r="B14" s="511">
        <v>384.221</v>
      </c>
      <c r="C14" s="507">
        <f t="shared" si="0"/>
        <v>2.5</v>
      </c>
      <c r="D14" s="504">
        <f t="shared" si="1"/>
        <v>10</v>
      </c>
      <c r="E14" s="479"/>
      <c r="F14" s="514">
        <v>0.17699999999999999</v>
      </c>
      <c r="G14" s="515">
        <v>1.3109999999999999</v>
      </c>
      <c r="H14" s="499">
        <f t="shared" si="2"/>
        <v>7.406779661016949</v>
      </c>
      <c r="I14" s="505">
        <f t="shared" si="3"/>
        <v>0</v>
      </c>
      <c r="J14" s="504">
        <f t="shared" si="4"/>
        <v>10</v>
      </c>
      <c r="K14" s="503">
        <f t="shared" si="5"/>
        <v>2.5</v>
      </c>
      <c r="L14" s="495"/>
      <c r="M14" s="108"/>
      <c r="N14" s="26"/>
      <c r="O14" s="26"/>
      <c r="P14" s="103"/>
      <c r="Q14" s="72"/>
      <c r="R14" s="72"/>
      <c r="S14" s="72"/>
      <c r="T14" s="72"/>
      <c r="U14" s="72"/>
      <c r="V14" s="72"/>
      <c r="W14" s="72"/>
      <c r="X14" s="72"/>
      <c r="Y14" s="72"/>
      <c r="Z14" s="71"/>
      <c r="AA14" s="82"/>
      <c r="AB14" s="83"/>
      <c r="AH14" s="28"/>
      <c r="AI14" s="28"/>
    </row>
    <row r="15" spans="1:35" ht="20.399999999999999">
      <c r="A15" s="340" t="s">
        <v>176</v>
      </c>
      <c r="B15" s="511">
        <v>58.814</v>
      </c>
      <c r="C15" s="507">
        <f t="shared" si="0"/>
        <v>43.241275468515248</v>
      </c>
      <c r="D15" s="504">
        <f t="shared" si="1"/>
        <v>8</v>
      </c>
      <c r="E15" s="492"/>
      <c r="F15" s="514">
        <v>8.4000000000000005E-2</v>
      </c>
      <c r="G15" s="515">
        <v>1.3129999999999999</v>
      </c>
      <c r="H15" s="499">
        <f t="shared" si="2"/>
        <v>15.63095238095238</v>
      </c>
      <c r="I15" s="505">
        <f t="shared" si="3"/>
        <v>36.458109713337052</v>
      </c>
      <c r="J15" s="504">
        <f t="shared" si="4"/>
        <v>6</v>
      </c>
      <c r="K15" s="503">
        <f t="shared" si="5"/>
        <v>79.699385181852307</v>
      </c>
      <c r="L15" s="495"/>
      <c r="M15" s="108"/>
      <c r="N15" s="26"/>
      <c r="O15" s="26"/>
      <c r="P15" s="103"/>
      <c r="Q15" s="72"/>
      <c r="R15" s="72"/>
      <c r="S15" s="72"/>
      <c r="T15" s="72"/>
      <c r="U15" s="72"/>
      <c r="V15" s="72"/>
      <c r="W15" s="72"/>
      <c r="X15" s="72"/>
      <c r="Y15" s="72"/>
      <c r="Z15" s="71"/>
      <c r="AA15" s="82"/>
      <c r="AB15" s="83"/>
      <c r="AH15" s="28"/>
      <c r="AI15" s="28"/>
    </row>
    <row r="16" spans="1:35" s="119" customFormat="1" ht="20.399999999999999">
      <c r="A16" s="340" t="s">
        <v>174</v>
      </c>
      <c r="B16" s="508" t="s">
        <v>42</v>
      </c>
      <c r="C16" s="507" t="s">
        <v>74</v>
      </c>
      <c r="D16" s="504" t="s">
        <v>42</v>
      </c>
      <c r="E16" s="479"/>
      <c r="F16" s="502"/>
      <c r="G16" s="509"/>
      <c r="H16" s="499"/>
      <c r="I16" s="505" t="s">
        <v>42</v>
      </c>
      <c r="J16" s="504" t="s">
        <v>42</v>
      </c>
      <c r="K16" s="475"/>
      <c r="L16" s="495"/>
      <c r="M16" s="127"/>
      <c r="N16" s="126"/>
      <c r="O16" s="126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15"/>
      <c r="AA16" s="122"/>
      <c r="AB16" s="121"/>
      <c r="AC16" s="118"/>
      <c r="AH16" s="129"/>
      <c r="AI16" s="129"/>
    </row>
    <row r="17" spans="1:35" s="119" customFormat="1" ht="20.399999999999999">
      <c r="A17" s="340" t="s">
        <v>211</v>
      </c>
      <c r="B17" s="508" t="s">
        <v>42</v>
      </c>
      <c r="C17" s="507" t="s">
        <v>42</v>
      </c>
      <c r="D17" s="504" t="s">
        <v>42</v>
      </c>
      <c r="E17" s="479"/>
      <c r="F17" s="502"/>
      <c r="G17" s="509"/>
      <c r="H17" s="499"/>
      <c r="I17" s="505" t="s">
        <v>42</v>
      </c>
      <c r="J17" s="504" t="s">
        <v>42</v>
      </c>
      <c r="K17" s="475"/>
      <c r="L17" s="495"/>
      <c r="M17" s="127"/>
      <c r="N17" s="126"/>
      <c r="O17" s="126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15"/>
      <c r="AA17" s="122"/>
      <c r="AB17" s="121"/>
      <c r="AC17" s="118"/>
      <c r="AH17" s="129"/>
      <c r="AI17" s="129"/>
    </row>
    <row r="18" spans="1:35" ht="20.399999999999999">
      <c r="A18" s="340" t="s">
        <v>175</v>
      </c>
      <c r="B18" s="508" t="s">
        <v>42</v>
      </c>
      <c r="C18" s="507" t="s">
        <v>42</v>
      </c>
      <c r="D18" s="504" t="s">
        <v>42</v>
      </c>
      <c r="E18" s="479"/>
      <c r="F18" s="502"/>
      <c r="G18" s="509"/>
      <c r="H18" s="499"/>
      <c r="I18" s="505" t="s">
        <v>42</v>
      </c>
      <c r="J18" s="504" t="s">
        <v>42</v>
      </c>
      <c r="K18" s="475"/>
      <c r="L18" s="496"/>
      <c r="M18" s="35"/>
      <c r="N18" s="35"/>
      <c r="O18" s="35"/>
      <c r="P18" s="107"/>
      <c r="Q18" s="87"/>
      <c r="R18" s="87"/>
      <c r="S18" s="88"/>
      <c r="T18" s="88"/>
      <c r="U18" s="88"/>
      <c r="V18" s="88"/>
      <c r="W18" s="88"/>
      <c r="X18" s="88"/>
      <c r="Y18" s="88"/>
      <c r="Z18" s="89"/>
      <c r="AA18" s="90"/>
      <c r="AB18" s="91"/>
      <c r="AC18" s="41"/>
      <c r="AD18" s="29"/>
      <c r="AE18" s="29"/>
      <c r="AF18" s="29"/>
      <c r="AG18" s="29"/>
      <c r="AH18" s="28"/>
      <c r="AI18" s="28"/>
    </row>
    <row r="19" spans="1:35" ht="14.4">
      <c r="A19" s="266"/>
      <c r="B19" s="476"/>
      <c r="C19" s="473"/>
      <c r="D19" s="473"/>
      <c r="E19" s="473"/>
      <c r="F19" s="473"/>
      <c r="G19" s="473"/>
      <c r="H19" s="473"/>
      <c r="I19" s="473"/>
      <c r="J19" s="473"/>
      <c r="K19" s="487"/>
      <c r="L19" s="497"/>
      <c r="M19" s="86"/>
      <c r="N19" s="92"/>
      <c r="O19" s="84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3"/>
      <c r="AA19" s="98"/>
      <c r="AB19" s="100"/>
      <c r="AC19" s="41"/>
      <c r="AD19" s="29"/>
      <c r="AE19" s="29"/>
      <c r="AF19" s="29"/>
      <c r="AG19" s="29"/>
      <c r="AH19" s="28"/>
      <c r="AI19" s="28"/>
    </row>
    <row r="20" spans="1:35">
      <c r="A20" s="77"/>
      <c r="B20" s="473"/>
      <c r="C20" s="473"/>
      <c r="D20" s="473"/>
      <c r="E20" s="473"/>
      <c r="F20" s="473"/>
      <c r="G20" s="473"/>
      <c r="H20" s="473"/>
      <c r="I20" s="473"/>
      <c r="J20" s="473"/>
      <c r="K20" s="487"/>
      <c r="L20" s="473"/>
      <c r="M20" s="86"/>
      <c r="N20" s="92"/>
      <c r="O20" s="84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3"/>
      <c r="AA20" s="98"/>
      <c r="AB20" s="100"/>
      <c r="AC20" s="41"/>
      <c r="AD20" s="29"/>
      <c r="AE20" s="29"/>
      <c r="AF20" s="29"/>
      <c r="AG20" s="29"/>
      <c r="AH20" s="28"/>
      <c r="AI20" s="28"/>
    </row>
    <row r="21" spans="1:35" ht="13.8">
      <c r="A21" s="490"/>
      <c r="B21" s="465">
        <f>(50-2.5)/(F1-F2)</f>
        <v>-0.12520098052136325</v>
      </c>
      <c r="D21" s="477"/>
      <c r="E21" s="473"/>
      <c r="F21" s="506">
        <f>(50)/(J2-J1)</f>
        <v>4.4330428062341678</v>
      </c>
      <c r="G21" s="473"/>
      <c r="H21" s="466"/>
      <c r="I21" s="473"/>
      <c r="J21" s="473"/>
      <c r="K21" s="487"/>
      <c r="L21" s="473"/>
      <c r="M21" s="86"/>
      <c r="N21" s="92"/>
      <c r="O21" s="84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3"/>
      <c r="AA21" s="101"/>
      <c r="AB21" s="100"/>
    </row>
    <row r="22" spans="1:35" ht="13.8">
      <c r="A22" s="491"/>
      <c r="B22" s="465">
        <f>2.5-(B21*F2)</f>
        <v>50.604845936898705</v>
      </c>
      <c r="D22" s="478" t="s">
        <v>42</v>
      </c>
      <c r="E22" s="473"/>
      <c r="F22" s="491">
        <f>-(F21*J1)</f>
        <v>-32.834571293632735</v>
      </c>
      <c r="G22" s="473"/>
      <c r="H22" s="466"/>
      <c r="I22" s="473"/>
      <c r="J22" s="473"/>
      <c r="K22" s="487"/>
      <c r="L22" s="473"/>
      <c r="M22" s="86"/>
      <c r="N22" s="92"/>
      <c r="O22" s="84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3"/>
      <c r="AA22" s="101"/>
      <c r="AB22" s="100"/>
    </row>
    <row r="23" spans="1:35" ht="13.8">
      <c r="A23" s="77" t="s">
        <v>42</v>
      </c>
      <c r="B23" s="78"/>
      <c r="C23" s="147"/>
      <c r="D23" s="147"/>
      <c r="E23" s="78"/>
      <c r="F23" s="78"/>
      <c r="G23" s="78"/>
      <c r="H23" s="78"/>
      <c r="I23" s="78"/>
      <c r="J23" s="78"/>
      <c r="K23" s="211"/>
      <c r="L23" s="78"/>
      <c r="M23" s="78"/>
      <c r="N23" s="92"/>
      <c r="O23" s="84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93"/>
      <c r="AA23" s="101"/>
      <c r="AB23" s="100"/>
    </row>
    <row r="24" spans="1:35">
      <c r="A24" s="77"/>
      <c r="B24" s="86"/>
      <c r="C24" s="86" t="s">
        <v>42</v>
      </c>
      <c r="D24" s="148" t="s">
        <v>42</v>
      </c>
      <c r="E24" s="86"/>
      <c r="F24" s="86"/>
      <c r="G24" s="86"/>
      <c r="H24" s="86"/>
      <c r="I24" s="86"/>
      <c r="J24" s="86"/>
      <c r="K24" s="211"/>
      <c r="L24" s="86"/>
      <c r="M24" s="86"/>
      <c r="N24" s="92"/>
      <c r="O24" s="84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3"/>
      <c r="AA24" s="101"/>
      <c r="AB24" s="100"/>
    </row>
    <row r="25" spans="1:35">
      <c r="A25" s="77"/>
      <c r="B25" s="86"/>
      <c r="C25" s="86" t="s">
        <v>74</v>
      </c>
      <c r="D25" s="86"/>
      <c r="E25" s="86"/>
      <c r="F25" s="86"/>
      <c r="G25" s="86"/>
      <c r="H25" s="86"/>
      <c r="I25" s="86"/>
      <c r="J25" s="86"/>
      <c r="K25" s="211"/>
      <c r="L25" s="86"/>
      <c r="M25" s="86"/>
      <c r="N25" s="92"/>
      <c r="O25" s="84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3"/>
      <c r="AA25" s="101"/>
      <c r="AB25" s="100"/>
    </row>
    <row r="26" spans="1:35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211"/>
      <c r="L26" s="78"/>
      <c r="M26" s="78"/>
      <c r="N26" s="92"/>
      <c r="O26" s="84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93"/>
      <c r="AA26" s="101"/>
      <c r="AB26" s="100"/>
    </row>
    <row r="27" spans="1:35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211"/>
      <c r="L27" s="78"/>
      <c r="M27" s="78"/>
      <c r="N27" s="92"/>
      <c r="O27" s="84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93"/>
      <c r="AA27" s="101"/>
      <c r="AB27" s="100"/>
    </row>
    <row r="28" spans="1:35">
      <c r="A28" s="77"/>
      <c r="B28" s="86"/>
      <c r="C28" s="86"/>
      <c r="D28" s="86"/>
      <c r="E28" s="86"/>
      <c r="F28" s="86"/>
      <c r="G28" s="86"/>
      <c r="H28" s="86"/>
      <c r="I28" s="86"/>
      <c r="J28" s="86"/>
      <c r="K28" s="211"/>
      <c r="L28" s="86"/>
      <c r="M28" s="86"/>
      <c r="N28" s="92"/>
      <c r="O28" s="84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3"/>
      <c r="AA28" s="101"/>
      <c r="AB28" s="100"/>
    </row>
    <row r="29" spans="1:35">
      <c r="A29" s="77"/>
      <c r="B29" s="86"/>
      <c r="C29" s="86"/>
      <c r="D29" s="86"/>
      <c r="E29" s="86"/>
      <c r="F29" s="86"/>
      <c r="G29" s="86"/>
      <c r="H29" s="86"/>
      <c r="I29" s="86"/>
      <c r="J29" s="86"/>
      <c r="K29" s="211"/>
      <c r="L29" s="86"/>
      <c r="M29" s="86"/>
      <c r="N29" s="92"/>
      <c r="O29" s="84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3"/>
      <c r="AA29" s="101"/>
      <c r="AB29" s="100"/>
    </row>
    <row r="30" spans="1:35">
      <c r="A30" s="77"/>
      <c r="B30" s="78"/>
      <c r="C30" s="78"/>
      <c r="D30" s="78"/>
      <c r="E30" s="78"/>
      <c r="F30" s="78"/>
      <c r="G30" s="78"/>
      <c r="H30" s="78"/>
      <c r="I30" s="78"/>
      <c r="J30" s="78"/>
      <c r="K30" s="211"/>
      <c r="L30" s="78"/>
      <c r="M30" s="78"/>
      <c r="N30" s="92"/>
      <c r="O30" s="84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93"/>
      <c r="AA30" s="101"/>
      <c r="AB30" s="100"/>
    </row>
    <row r="31" spans="1:35">
      <c r="A31" s="77"/>
      <c r="B31" s="102"/>
      <c r="C31" s="86"/>
      <c r="D31" s="86"/>
      <c r="E31" s="86"/>
      <c r="F31" s="86"/>
      <c r="G31" s="86"/>
      <c r="H31" s="86"/>
      <c r="I31" s="86"/>
      <c r="J31" s="86"/>
      <c r="K31" s="211"/>
      <c r="L31" s="86"/>
      <c r="M31" s="86"/>
      <c r="N31" s="92"/>
      <c r="O31" s="84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3"/>
      <c r="AA31" s="101"/>
      <c r="AB31" s="100"/>
    </row>
    <row r="32" spans="1:35">
      <c r="A32" s="77"/>
      <c r="B32" s="86"/>
      <c r="C32" s="86"/>
      <c r="D32" s="86"/>
      <c r="E32" s="86"/>
      <c r="F32" s="86"/>
      <c r="G32" s="86"/>
      <c r="H32" s="86"/>
      <c r="I32" s="86"/>
      <c r="J32" s="86"/>
      <c r="K32" s="211"/>
      <c r="L32" s="86"/>
      <c r="M32" s="86"/>
      <c r="N32" s="93"/>
      <c r="O32" s="84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3"/>
      <c r="AA32" s="101"/>
      <c r="AB32" s="76"/>
    </row>
    <row r="33" spans="1:28">
      <c r="A33" s="77"/>
      <c r="B33" s="78"/>
      <c r="C33" s="78"/>
      <c r="D33" s="144"/>
      <c r="E33" s="64"/>
      <c r="F33" s="64"/>
      <c r="G33" s="78"/>
      <c r="H33" s="78"/>
      <c r="I33" s="78"/>
      <c r="J33" s="78"/>
      <c r="K33" s="211"/>
      <c r="L33" s="78"/>
      <c r="M33" s="78"/>
      <c r="N33" s="92"/>
      <c r="O33" s="84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93"/>
      <c r="AA33" s="101"/>
      <c r="AB33" s="100"/>
    </row>
    <row r="34" spans="1:28">
      <c r="A34" s="77"/>
      <c r="B34" s="86"/>
      <c r="C34" s="86"/>
      <c r="D34" s="64"/>
      <c r="E34" s="64"/>
      <c r="F34" s="143"/>
      <c r="G34" s="141"/>
      <c r="H34" s="141"/>
      <c r="I34" s="141"/>
      <c r="J34" s="86"/>
      <c r="K34" s="211"/>
      <c r="L34" s="86"/>
      <c r="M34" s="86"/>
      <c r="N34" s="92"/>
      <c r="O34" s="84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3"/>
      <c r="AA34" s="101"/>
      <c r="AB34" s="100"/>
    </row>
    <row r="35" spans="1:28">
      <c r="A35" s="77"/>
      <c r="B35" s="86"/>
      <c r="C35" s="78"/>
      <c r="D35" s="64"/>
      <c r="E35" s="64"/>
      <c r="F35" s="64"/>
      <c r="G35" s="78"/>
      <c r="H35" s="78"/>
      <c r="I35" s="78"/>
      <c r="J35" s="78"/>
      <c r="K35" s="211"/>
      <c r="L35" s="78"/>
      <c r="M35" s="78"/>
      <c r="N35" s="92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93"/>
      <c r="AA35" s="101"/>
      <c r="AB35" s="100"/>
    </row>
    <row r="36" spans="1:28">
      <c r="A36" s="71"/>
      <c r="B36" s="78"/>
      <c r="C36" s="78"/>
      <c r="D36" s="78"/>
      <c r="E36" s="78"/>
      <c r="F36" s="78"/>
      <c r="G36" s="78"/>
      <c r="H36" s="78"/>
      <c r="I36" s="78"/>
      <c r="J36" s="78"/>
      <c r="K36" s="211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101"/>
      <c r="AB36" s="76"/>
    </row>
    <row r="37" spans="1:28">
      <c r="A37" s="71"/>
      <c r="B37" s="78"/>
      <c r="C37" s="78"/>
      <c r="D37" s="78"/>
      <c r="E37" s="78"/>
      <c r="F37" s="78"/>
      <c r="G37" s="78"/>
      <c r="H37" s="78"/>
      <c r="I37" s="78"/>
      <c r="J37" s="78"/>
      <c r="K37" s="211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101"/>
      <c r="AB37" s="76"/>
    </row>
    <row r="38" spans="1:28">
      <c r="A38" s="71"/>
      <c r="B38" s="80"/>
      <c r="C38" s="80"/>
      <c r="D38" s="80"/>
      <c r="E38" s="80"/>
      <c r="F38" s="80"/>
      <c r="G38" s="80"/>
      <c r="H38" s="80"/>
      <c r="I38" s="80"/>
      <c r="J38" s="80"/>
      <c r="K38" s="212"/>
      <c r="L38" s="80"/>
      <c r="M38" s="80"/>
      <c r="N38" s="80"/>
      <c r="O38" s="78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101"/>
      <c r="AB38" s="76"/>
    </row>
    <row r="39" spans="1:28">
      <c r="A39" s="95"/>
      <c r="B39" s="78"/>
      <c r="C39" s="78"/>
      <c r="D39" s="78"/>
      <c r="E39" s="78"/>
      <c r="F39" s="78"/>
      <c r="G39" s="78"/>
      <c r="H39" s="78"/>
      <c r="I39" s="78"/>
      <c r="J39" s="78"/>
      <c r="K39" s="211"/>
      <c r="L39" s="78"/>
      <c r="M39" s="78"/>
      <c r="N39" s="92"/>
      <c r="O39" s="84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93"/>
      <c r="AA39" s="101"/>
      <c r="AB39" s="100"/>
    </row>
    <row r="40" spans="1:28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211"/>
      <c r="L40" s="78"/>
      <c r="M40" s="78"/>
      <c r="N40" s="92"/>
      <c r="O40" s="84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93"/>
      <c r="AA40" s="101"/>
      <c r="AB40" s="100"/>
    </row>
    <row r="41" spans="1:28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211"/>
      <c r="L41" s="78"/>
      <c r="M41" s="78"/>
      <c r="N41" s="92"/>
      <c r="O41" s="84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93"/>
      <c r="AA41" s="101"/>
      <c r="AB41" s="100"/>
    </row>
    <row r="42" spans="1:28">
      <c r="A42" s="77"/>
      <c r="B42" s="78"/>
      <c r="C42" s="78"/>
      <c r="D42" s="78"/>
      <c r="E42" s="78"/>
      <c r="F42" s="78"/>
      <c r="G42" s="78"/>
      <c r="H42" s="78"/>
      <c r="I42" s="78"/>
      <c r="J42" s="78"/>
      <c r="K42" s="211"/>
      <c r="L42" s="78"/>
      <c r="M42" s="78"/>
      <c r="N42" s="92"/>
      <c r="O42" s="84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93"/>
      <c r="AA42" s="101"/>
      <c r="AB42" s="100"/>
    </row>
    <row r="43" spans="1:28">
      <c r="A43" s="77"/>
      <c r="B43" s="78"/>
      <c r="C43" s="78"/>
      <c r="D43" s="78"/>
      <c r="E43" s="78"/>
      <c r="F43" s="78"/>
      <c r="G43" s="78"/>
      <c r="H43" s="78"/>
      <c r="I43" s="78"/>
      <c r="J43" s="78"/>
      <c r="K43" s="211"/>
      <c r="L43" s="78"/>
      <c r="M43" s="78"/>
      <c r="N43" s="92"/>
      <c r="O43" s="84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93"/>
      <c r="AA43" s="101"/>
      <c r="AB43" s="100"/>
    </row>
    <row r="44" spans="1:28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211"/>
      <c r="L44" s="78"/>
      <c r="M44" s="78"/>
      <c r="N44" s="92"/>
      <c r="O44" s="84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93"/>
      <c r="AA44" s="101"/>
      <c r="AB44" s="100"/>
    </row>
    <row r="45" spans="1:28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211"/>
      <c r="L45" s="78"/>
      <c r="M45" s="78"/>
      <c r="N45" s="92"/>
      <c r="O45" s="84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93"/>
      <c r="AA45" s="101"/>
      <c r="AB45" s="100"/>
    </row>
    <row r="46" spans="1:28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211"/>
      <c r="L46" s="78"/>
      <c r="M46" s="78"/>
      <c r="N46" s="92"/>
      <c r="O46" s="84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93"/>
      <c r="AA46" s="101"/>
      <c r="AB46" s="100"/>
    </row>
    <row r="47" spans="1:28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211"/>
      <c r="L47" s="78"/>
      <c r="M47" s="78"/>
      <c r="N47" s="92"/>
      <c r="O47" s="84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93"/>
      <c r="AA47" s="101"/>
      <c r="AB47" s="100"/>
    </row>
    <row r="48" spans="1:28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211"/>
      <c r="L48" s="78"/>
      <c r="M48" s="78"/>
      <c r="N48" s="92"/>
      <c r="O48" s="84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93"/>
      <c r="AA48" s="101"/>
      <c r="AB48" s="100"/>
    </row>
    <row r="49" spans="1:28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211"/>
      <c r="L49" s="78"/>
      <c r="M49" s="78"/>
      <c r="N49" s="92"/>
      <c r="O49" s="84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93"/>
      <c r="AA49" s="101"/>
      <c r="AB49" s="100"/>
    </row>
    <row r="50" spans="1:28">
      <c r="A50" s="77"/>
      <c r="B50" s="78"/>
      <c r="C50" s="78"/>
      <c r="D50" s="78"/>
      <c r="E50" s="78"/>
      <c r="F50" s="78"/>
      <c r="G50" s="78"/>
      <c r="H50" s="78"/>
      <c r="I50" s="78"/>
      <c r="J50" s="78"/>
      <c r="K50" s="211"/>
      <c r="L50" s="78"/>
      <c r="M50" s="78"/>
      <c r="N50" s="92"/>
      <c r="O50" s="84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93"/>
      <c r="AA50" s="101"/>
      <c r="AB50" s="100"/>
    </row>
    <row r="51" spans="1:28">
      <c r="A51" s="77"/>
      <c r="B51" s="78"/>
      <c r="C51" s="78"/>
      <c r="D51" s="78"/>
      <c r="E51" s="78"/>
      <c r="F51" s="78"/>
      <c r="G51" s="78"/>
      <c r="H51" s="78"/>
      <c r="I51" s="78"/>
      <c r="J51" s="78"/>
      <c r="K51" s="211"/>
      <c r="L51" s="78"/>
      <c r="M51" s="78"/>
      <c r="N51" s="92"/>
      <c r="O51" s="84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93"/>
      <c r="AA51" s="101"/>
      <c r="AB51" s="100"/>
    </row>
    <row r="52" spans="1:28">
      <c r="A52" s="77"/>
      <c r="B52" s="86"/>
      <c r="C52" s="86"/>
      <c r="D52" s="86"/>
      <c r="E52" s="86"/>
      <c r="F52" s="86"/>
      <c r="G52" s="86"/>
      <c r="H52" s="86"/>
      <c r="I52" s="86"/>
      <c r="J52" s="86"/>
      <c r="K52" s="211"/>
      <c r="L52" s="86"/>
      <c r="M52" s="86"/>
      <c r="N52" s="93"/>
      <c r="O52" s="84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93"/>
      <c r="AA52" s="101"/>
      <c r="AB52" s="76"/>
    </row>
    <row r="53" spans="1:28">
      <c r="A53" s="77"/>
      <c r="B53" s="78"/>
      <c r="C53" s="78"/>
      <c r="D53" s="78"/>
      <c r="E53" s="78"/>
      <c r="F53" s="78"/>
      <c r="G53" s="78"/>
      <c r="H53" s="78"/>
      <c r="I53" s="78"/>
      <c r="J53" s="78"/>
      <c r="K53" s="211"/>
      <c r="L53" s="78"/>
      <c r="M53" s="78"/>
      <c r="N53" s="92"/>
      <c r="O53" s="84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93"/>
      <c r="AA53" s="101"/>
      <c r="AB53" s="100"/>
    </row>
    <row r="54" spans="1:28">
      <c r="A54" s="77"/>
      <c r="B54" s="78"/>
      <c r="C54" s="78"/>
      <c r="D54" s="78"/>
      <c r="E54" s="78"/>
      <c r="F54" s="78"/>
      <c r="G54" s="78"/>
      <c r="H54" s="78"/>
      <c r="I54" s="78"/>
      <c r="J54" s="78"/>
      <c r="K54" s="211"/>
      <c r="L54" s="78"/>
      <c r="M54" s="78"/>
      <c r="N54" s="92"/>
      <c r="O54" s="84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93"/>
      <c r="AA54" s="101"/>
      <c r="AB54" s="100"/>
    </row>
    <row r="55" spans="1:28">
      <c r="A55" s="77"/>
      <c r="B55" s="101"/>
      <c r="C55" s="101"/>
      <c r="D55" s="101"/>
      <c r="E55" s="101"/>
      <c r="F55" s="101"/>
      <c r="G55" s="101"/>
      <c r="H55" s="101"/>
      <c r="I55" s="101"/>
      <c r="J55" s="101"/>
      <c r="K55" s="213"/>
      <c r="L55" s="101"/>
      <c r="M55" s="101"/>
      <c r="N55" s="96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97"/>
      <c r="AA55" s="101"/>
      <c r="AB55" s="76"/>
    </row>
    <row r="56" spans="1:28">
      <c r="A56" s="82"/>
      <c r="B56" s="101"/>
      <c r="C56" s="101"/>
      <c r="D56" s="101"/>
      <c r="E56" s="101"/>
      <c r="F56" s="101"/>
      <c r="G56" s="101"/>
      <c r="H56" s="101"/>
      <c r="I56" s="101"/>
      <c r="J56" s="101"/>
      <c r="K56" s="213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76"/>
    </row>
    <row r="57" spans="1:28">
      <c r="A57" s="82"/>
      <c r="B57" s="76"/>
      <c r="C57" s="76"/>
      <c r="D57" s="76"/>
      <c r="E57" s="76"/>
      <c r="F57" s="76"/>
      <c r="G57" s="76"/>
      <c r="H57" s="76"/>
      <c r="I57" s="76"/>
      <c r="J57" s="76"/>
      <c r="K57" s="214"/>
      <c r="L57" s="76"/>
      <c r="M57" s="76"/>
      <c r="N57" s="101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</row>
    <row r="58" spans="1:28">
      <c r="A58" s="82"/>
      <c r="B58" s="83"/>
      <c r="C58" s="83"/>
      <c r="D58" s="83"/>
      <c r="E58" s="83"/>
      <c r="F58" s="83"/>
      <c r="G58" s="83"/>
      <c r="H58" s="83"/>
      <c r="I58" s="83"/>
      <c r="J58" s="83"/>
      <c r="K58" s="215"/>
      <c r="L58" s="83"/>
      <c r="M58" s="83"/>
      <c r="N58" s="94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</row>
    <row r="59" spans="1:28">
      <c r="A59" s="82"/>
      <c r="B59" s="83"/>
      <c r="C59" s="83"/>
      <c r="D59" s="83"/>
      <c r="E59" s="83"/>
      <c r="F59" s="83"/>
      <c r="G59" s="83"/>
      <c r="H59" s="83"/>
      <c r="I59" s="83"/>
      <c r="J59" s="83"/>
      <c r="K59" s="215"/>
      <c r="L59" s="83"/>
      <c r="M59" s="83"/>
      <c r="N59" s="94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</row>
    <row r="60" spans="1:28">
      <c r="A60" s="82"/>
      <c r="B60" s="83"/>
      <c r="C60" s="83"/>
      <c r="D60" s="83"/>
      <c r="E60" s="83"/>
      <c r="F60" s="83"/>
      <c r="G60" s="83"/>
      <c r="H60" s="83"/>
      <c r="I60" s="83"/>
      <c r="J60" s="83"/>
      <c r="K60" s="215"/>
      <c r="L60" s="83"/>
      <c r="M60" s="83"/>
      <c r="N60" s="94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</row>
    <row r="61" spans="1:28">
      <c r="A61" s="82"/>
      <c r="B61" s="83"/>
      <c r="C61" s="83"/>
      <c r="D61" s="83"/>
      <c r="E61" s="83"/>
      <c r="F61" s="83"/>
      <c r="G61" s="83"/>
      <c r="H61" s="83"/>
      <c r="I61" s="83"/>
      <c r="J61" s="83"/>
      <c r="K61" s="215"/>
      <c r="L61" s="83"/>
      <c r="M61" s="83"/>
      <c r="N61" s="94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</row>
    <row r="62" spans="1:28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216"/>
      <c r="L62" s="83"/>
      <c r="M62" s="83"/>
      <c r="N62" s="94"/>
      <c r="O62" s="83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2"/>
      <c r="AA62" s="82"/>
      <c r="AB62" s="83"/>
    </row>
    <row r="63" spans="1:28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216"/>
      <c r="L63" s="83"/>
      <c r="M63" s="83"/>
      <c r="N63" s="94"/>
      <c r="O63" s="83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2"/>
      <c r="AA63" s="82"/>
      <c r="AB63" s="83"/>
    </row>
    <row r="64" spans="1:28">
      <c r="A64" s="82"/>
      <c r="N64" s="37"/>
    </row>
    <row r="65" spans="14:14">
      <c r="N65" s="37"/>
    </row>
    <row r="66" spans="14:14">
      <c r="N66" s="37"/>
    </row>
    <row r="67" spans="14:14">
      <c r="N67" s="37"/>
    </row>
    <row r="68" spans="14:14">
      <c r="N68" s="37"/>
    </row>
    <row r="69" spans="14:14">
      <c r="N69" s="37"/>
    </row>
    <row r="70" spans="14:14">
      <c r="N70" s="37"/>
    </row>
    <row r="71" spans="14:14">
      <c r="N71" s="37"/>
    </row>
    <row r="72" spans="14:14">
      <c r="N72" s="37"/>
    </row>
    <row r="73" spans="14:14">
      <c r="N73" s="37"/>
    </row>
    <row r="74" spans="14:14">
      <c r="N74" s="37"/>
    </row>
    <row r="75" spans="14:14">
      <c r="N75" s="37"/>
    </row>
    <row r="76" spans="14:14">
      <c r="N76" s="37"/>
    </row>
    <row r="77" spans="14:14">
      <c r="N77" s="37"/>
    </row>
    <row r="78" spans="14:14">
      <c r="N78" s="37"/>
    </row>
    <row r="79" spans="14:14">
      <c r="N79" s="37"/>
    </row>
    <row r="80" spans="14:14">
      <c r="N80" s="37"/>
    </row>
    <row r="81" spans="14:14">
      <c r="N81" s="37"/>
    </row>
    <row r="82" spans="14:14">
      <c r="N82" s="37"/>
    </row>
    <row r="83" spans="14:14">
      <c r="N83" s="37"/>
    </row>
    <row r="84" spans="14:14">
      <c r="N84" s="37"/>
    </row>
    <row r="85" spans="14:14">
      <c r="N85" s="37"/>
    </row>
    <row r="86" spans="14:14">
      <c r="N86" s="37"/>
    </row>
    <row r="87" spans="14:14">
      <c r="N87" s="37"/>
    </row>
    <row r="88" spans="14:14">
      <c r="N88" s="37"/>
    </row>
    <row r="89" spans="14:14">
      <c r="N89" s="37"/>
    </row>
    <row r="90" spans="14:14">
      <c r="N90" s="37"/>
    </row>
    <row r="91" spans="14:14">
      <c r="N91" s="37"/>
    </row>
    <row r="92" spans="14:14">
      <c r="N92" s="37"/>
    </row>
    <row r="93" spans="14:14">
      <c r="N93" s="37"/>
    </row>
    <row r="94" spans="14:14">
      <c r="N94" s="37"/>
    </row>
    <row r="95" spans="14:14">
      <c r="N95" s="37"/>
    </row>
    <row r="96" spans="14:14">
      <c r="N96" s="37"/>
    </row>
    <row r="97" spans="14:14">
      <c r="N97" s="37"/>
    </row>
  </sheetData>
  <phoneticPr fontId="27" type="noConversion"/>
  <pageMargins left="0.75" right="0.75" top="1" bottom="1" header="0.5" footer="0.5"/>
  <pageSetup scale="5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zoomScale="80" zoomScaleNormal="80" workbookViewId="0">
      <selection activeCell="B1" sqref="B1"/>
    </sheetView>
  </sheetViews>
  <sheetFormatPr defaultColWidth="8.88671875" defaultRowHeight="13.2"/>
  <cols>
    <col min="2" max="2" width="56.109375" customWidth="1"/>
    <col min="3" max="3" width="17.6640625" bestFit="1" customWidth="1"/>
    <col min="4" max="4" width="14.6640625" style="140" customWidth="1"/>
    <col min="5" max="5" width="8.88671875" style="3"/>
  </cols>
  <sheetData>
    <row r="1" spans="1:6" ht="17.399999999999999">
      <c r="B1" s="389" t="s">
        <v>216</v>
      </c>
      <c r="C1" s="6"/>
      <c r="D1" s="188"/>
      <c r="E1" s="18"/>
      <c r="F1" s="6"/>
    </row>
    <row r="2" spans="1:6">
      <c r="B2" s="170"/>
      <c r="C2" s="10"/>
      <c r="D2" s="188"/>
      <c r="E2" s="201"/>
      <c r="F2" s="6"/>
    </row>
    <row r="3" spans="1:6">
      <c r="B3" s="12"/>
      <c r="C3" s="15" t="s">
        <v>17</v>
      </c>
      <c r="D3" s="48" t="s">
        <v>14</v>
      </c>
      <c r="E3" s="201"/>
      <c r="F3" s="201"/>
    </row>
    <row r="4" spans="1:6" ht="20.399999999999999">
      <c r="A4" s="340">
        <v>2</v>
      </c>
      <c r="B4" s="340" t="s">
        <v>172</v>
      </c>
      <c r="C4" s="309" t="s">
        <v>232</v>
      </c>
      <c r="D4" s="48">
        <f t="shared" ref="D4:D16" si="0">IF(C4="fail",0,50)</f>
        <v>50</v>
      </c>
      <c r="E4" s="201"/>
      <c r="F4" s="6"/>
    </row>
    <row r="5" spans="1:6" ht="20.399999999999999">
      <c r="A5" s="340">
        <v>3</v>
      </c>
      <c r="B5" s="340" t="s">
        <v>171</v>
      </c>
      <c r="C5" s="309" t="s">
        <v>232</v>
      </c>
      <c r="D5" s="48">
        <f t="shared" si="0"/>
        <v>50</v>
      </c>
      <c r="E5" s="201"/>
      <c r="F5" s="6"/>
    </row>
    <row r="6" spans="1:6" ht="20.399999999999999">
      <c r="A6" s="340">
        <v>4</v>
      </c>
      <c r="B6" s="340" t="s">
        <v>170</v>
      </c>
      <c r="C6" s="309" t="s">
        <v>232</v>
      </c>
      <c r="D6" s="48">
        <f t="shared" si="0"/>
        <v>50</v>
      </c>
      <c r="E6" s="201"/>
      <c r="F6" s="6"/>
    </row>
    <row r="7" spans="1:6" s="167" customFormat="1" ht="20.399999999999999">
      <c r="A7" s="340">
        <v>5</v>
      </c>
      <c r="B7" s="340" t="s">
        <v>177</v>
      </c>
      <c r="C7" s="309" t="s">
        <v>235</v>
      </c>
      <c r="D7" s="48">
        <f t="shared" si="0"/>
        <v>0</v>
      </c>
      <c r="E7" s="176"/>
      <c r="F7" s="170"/>
    </row>
    <row r="8" spans="1:6" s="193" customFormat="1" ht="20.399999999999999">
      <c r="A8" s="340">
        <v>6</v>
      </c>
      <c r="B8" s="340" t="s">
        <v>210</v>
      </c>
      <c r="C8" s="309" t="s">
        <v>232</v>
      </c>
      <c r="D8" s="48">
        <f t="shared" si="0"/>
        <v>50</v>
      </c>
      <c r="E8" s="176"/>
      <c r="F8" s="192"/>
    </row>
    <row r="9" spans="1:6" ht="20.399999999999999">
      <c r="A9" s="340">
        <v>7</v>
      </c>
      <c r="B9" s="340" t="s">
        <v>173</v>
      </c>
      <c r="C9" s="309" t="s">
        <v>232</v>
      </c>
      <c r="D9" s="48">
        <f t="shared" si="0"/>
        <v>50</v>
      </c>
      <c r="E9" s="18"/>
      <c r="F9" s="6"/>
    </row>
    <row r="10" spans="1:6" ht="23.4">
      <c r="A10" s="340">
        <v>8</v>
      </c>
      <c r="B10" s="433" t="s">
        <v>179</v>
      </c>
      <c r="C10" s="309" t="s">
        <v>232</v>
      </c>
      <c r="D10" s="48">
        <f t="shared" si="0"/>
        <v>50</v>
      </c>
      <c r="E10" s="18"/>
      <c r="F10" s="6"/>
    </row>
    <row r="11" spans="1:6" ht="20.399999999999999">
      <c r="A11" s="340">
        <v>9</v>
      </c>
      <c r="B11" s="340" t="s">
        <v>178</v>
      </c>
      <c r="C11" s="309" t="s">
        <v>232</v>
      </c>
      <c r="D11" s="48">
        <f t="shared" si="0"/>
        <v>50</v>
      </c>
      <c r="E11" s="18"/>
      <c r="F11" s="6"/>
    </row>
    <row r="12" spans="1:6" ht="20.399999999999999">
      <c r="A12" s="340">
        <v>10</v>
      </c>
      <c r="B12" s="340" t="s">
        <v>180</v>
      </c>
      <c r="C12" s="309" t="s">
        <v>232</v>
      </c>
      <c r="D12" s="48">
        <f t="shared" si="0"/>
        <v>50</v>
      </c>
      <c r="E12" s="18"/>
      <c r="F12" s="6"/>
    </row>
    <row r="13" spans="1:6" s="119" customFormat="1" ht="20.399999999999999">
      <c r="A13" s="340">
        <v>11</v>
      </c>
      <c r="B13" s="340" t="s">
        <v>176</v>
      </c>
      <c r="C13" s="309" t="s">
        <v>232</v>
      </c>
      <c r="D13" s="48">
        <f t="shared" si="0"/>
        <v>50</v>
      </c>
      <c r="E13" s="120"/>
      <c r="F13" s="114"/>
    </row>
    <row r="14" spans="1:6" s="119" customFormat="1" ht="20.399999999999999">
      <c r="A14" s="340">
        <v>12</v>
      </c>
      <c r="B14" s="340" t="s">
        <v>174</v>
      </c>
      <c r="C14" s="309" t="s">
        <v>235</v>
      </c>
      <c r="D14" s="48">
        <f t="shared" si="0"/>
        <v>0</v>
      </c>
      <c r="E14" s="310"/>
      <c r="F14" s="114"/>
    </row>
    <row r="15" spans="1:6" s="119" customFormat="1" ht="20.399999999999999">
      <c r="A15" s="340">
        <v>13</v>
      </c>
      <c r="B15" s="340" t="s">
        <v>211</v>
      </c>
      <c r="C15" s="309" t="s">
        <v>232</v>
      </c>
      <c r="D15" s="48">
        <f t="shared" si="0"/>
        <v>50</v>
      </c>
      <c r="E15" s="120"/>
      <c r="F15" s="114"/>
    </row>
    <row r="16" spans="1:6" ht="20.399999999999999">
      <c r="A16" s="340">
        <v>14</v>
      </c>
      <c r="B16" s="340" t="s">
        <v>175</v>
      </c>
      <c r="C16" s="309" t="s">
        <v>235</v>
      </c>
      <c r="D16" s="48">
        <f t="shared" si="0"/>
        <v>0</v>
      </c>
    </row>
  </sheetData>
  <phoneticPr fontId="27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3"/>
  <sheetViews>
    <sheetView topLeftCell="B1" workbookViewId="0">
      <selection activeCell="B1" sqref="B1"/>
    </sheetView>
  </sheetViews>
  <sheetFormatPr defaultColWidth="8.88671875" defaultRowHeight="13.2"/>
  <cols>
    <col min="2" max="2" width="58.6640625" customWidth="1"/>
    <col min="3" max="3" width="10" customWidth="1"/>
    <col min="4" max="4" width="10.44140625" customWidth="1"/>
    <col min="5" max="5" width="10" customWidth="1"/>
    <col min="6" max="8" width="10.33203125" customWidth="1"/>
    <col min="9" max="9" width="13.44140625" customWidth="1"/>
    <col min="10" max="10" width="13" customWidth="1"/>
    <col min="11" max="11" width="10.44140625" customWidth="1"/>
    <col min="12" max="12" width="11" customWidth="1"/>
    <col min="13" max="13" width="48" customWidth="1"/>
    <col min="14" max="15" width="10" customWidth="1"/>
  </cols>
  <sheetData>
    <row r="1" spans="1:17" ht="34.799999999999997">
      <c r="B1" s="439" t="s">
        <v>215</v>
      </c>
      <c r="C1" s="6"/>
      <c r="D1" s="365"/>
      <c r="E1" s="365"/>
      <c r="F1" s="6"/>
      <c r="G1" s="365"/>
      <c r="H1" s="365"/>
      <c r="I1" s="6"/>
      <c r="J1" s="6"/>
      <c r="K1" s="6"/>
      <c r="L1" s="6"/>
      <c r="M1" s="6"/>
      <c r="N1" s="9"/>
      <c r="O1" s="6"/>
      <c r="P1" s="6"/>
      <c r="Q1" s="6"/>
    </row>
    <row r="2" spans="1:17" ht="17.399999999999999">
      <c r="B2" s="389" t="s">
        <v>182</v>
      </c>
      <c r="C2" s="6"/>
      <c r="D2" s="365"/>
      <c r="E2" s="365"/>
      <c r="I2" s="9" t="s">
        <v>32</v>
      </c>
      <c r="J2" s="59">
        <f>MAX(I6:I18)</f>
        <v>111</v>
      </c>
      <c r="K2" s="6" t="s">
        <v>16</v>
      </c>
      <c r="L2" s="6">
        <v>2.5</v>
      </c>
      <c r="M2" s="188" t="s">
        <v>152</v>
      </c>
      <c r="N2" s="9"/>
      <c r="O2" s="6"/>
      <c r="P2" s="6"/>
      <c r="Q2" s="6"/>
    </row>
    <row r="3" spans="1:17">
      <c r="B3" s="166"/>
      <c r="C3" s="6"/>
      <c r="D3" s="365"/>
      <c r="E3" s="365"/>
      <c r="I3" s="9" t="s">
        <v>33</v>
      </c>
      <c r="J3" s="59">
        <f>MIN(I6:I18)</f>
        <v>56</v>
      </c>
      <c r="K3" s="6" t="s">
        <v>16</v>
      </c>
      <c r="L3" s="6">
        <v>50</v>
      </c>
      <c r="M3" s="188" t="s">
        <v>153</v>
      </c>
      <c r="N3" s="9"/>
      <c r="O3" s="6"/>
      <c r="P3" s="6"/>
      <c r="Q3" s="6"/>
    </row>
    <row r="4" spans="1:17">
      <c r="B4" s="16"/>
      <c r="C4" s="16"/>
      <c r="D4" s="16"/>
      <c r="E4" s="16"/>
      <c r="F4" s="16"/>
      <c r="G4" s="16"/>
      <c r="H4" s="16"/>
      <c r="I4" s="16"/>
      <c r="J4" s="6"/>
      <c r="K4" s="16"/>
      <c r="L4" s="16"/>
      <c r="M4" s="16"/>
      <c r="N4" s="23"/>
      <c r="O4" s="6"/>
      <c r="P4" s="6"/>
      <c r="Q4" s="6"/>
    </row>
    <row r="5" spans="1:17" ht="30.75" customHeight="1" thickBot="1">
      <c r="B5" s="67"/>
      <c r="C5" s="34" t="s">
        <v>142</v>
      </c>
      <c r="D5" s="34" t="s">
        <v>197</v>
      </c>
      <c r="E5" s="34" t="s">
        <v>198</v>
      </c>
      <c r="F5" s="34" t="s">
        <v>143</v>
      </c>
      <c r="G5" s="34" t="s">
        <v>197</v>
      </c>
      <c r="H5" s="34" t="s">
        <v>198</v>
      </c>
      <c r="I5" s="34" t="s">
        <v>31</v>
      </c>
      <c r="J5" s="34" t="s">
        <v>9</v>
      </c>
      <c r="K5" s="22" t="s">
        <v>27</v>
      </c>
      <c r="L5" s="22"/>
      <c r="M5" s="290"/>
      <c r="N5" s="14"/>
      <c r="O5" s="13"/>
      <c r="P5" s="5"/>
      <c r="Q5" s="6"/>
    </row>
    <row r="6" spans="1:17" ht="21" thickBot="1">
      <c r="A6" s="340">
        <v>2</v>
      </c>
      <c r="B6" s="340" t="s">
        <v>172</v>
      </c>
      <c r="C6" s="403" t="s">
        <v>183</v>
      </c>
      <c r="D6" s="403"/>
      <c r="E6" s="403"/>
      <c r="F6" s="403"/>
      <c r="G6" s="403"/>
      <c r="H6" s="403"/>
      <c r="I6" s="449"/>
      <c r="J6" s="50">
        <v>0</v>
      </c>
      <c r="K6" s="113">
        <f>RANK(J6,$J$6:$J$18)</f>
        <v>7</v>
      </c>
      <c r="L6" s="45"/>
      <c r="M6" s="374"/>
      <c r="N6" s="24"/>
      <c r="O6" s="25"/>
      <c r="P6" s="18"/>
      <c r="Q6" s="6"/>
    </row>
    <row r="7" spans="1:17" ht="21" thickBot="1">
      <c r="A7" s="340">
        <v>3</v>
      </c>
      <c r="B7" s="340" t="s">
        <v>171</v>
      </c>
      <c r="C7" s="403">
        <v>104</v>
      </c>
      <c r="D7" s="403"/>
      <c r="E7" s="403"/>
      <c r="F7" s="403">
        <v>101</v>
      </c>
      <c r="G7" s="403"/>
      <c r="H7" s="403"/>
      <c r="I7" s="449">
        <f t="shared" ref="I7:I17" si="0">MIN(SUM(C7:E7),SUM(F7:H7))</f>
        <v>101</v>
      </c>
      <c r="J7" s="50">
        <f t="shared" ref="J7:J17" si="1">IF((I7=100), 2.5,(-$J$22*I7+$J$23))</f>
        <v>9.0909090909090935</v>
      </c>
      <c r="K7" s="113">
        <f t="shared" ref="K7:K18" si="2">RANK(J7,$J$6:$J$18)</f>
        <v>6</v>
      </c>
      <c r="L7" s="66"/>
      <c r="M7" s="374"/>
      <c r="N7" s="24"/>
      <c r="O7" s="25"/>
      <c r="P7" s="18"/>
      <c r="Q7" s="6"/>
    </row>
    <row r="8" spans="1:17" ht="21" thickBot="1">
      <c r="A8" s="340">
        <v>4</v>
      </c>
      <c r="B8" s="340" t="s">
        <v>170</v>
      </c>
      <c r="C8" s="403" t="s">
        <v>183</v>
      </c>
      <c r="D8" s="403"/>
      <c r="E8" s="403"/>
      <c r="F8" s="403"/>
      <c r="G8" s="403"/>
      <c r="H8" s="403"/>
      <c r="I8" s="449"/>
      <c r="J8" s="50">
        <v>0</v>
      </c>
      <c r="K8" s="113">
        <f t="shared" si="2"/>
        <v>7</v>
      </c>
      <c r="L8" s="45"/>
      <c r="M8" s="374"/>
      <c r="N8" s="24"/>
      <c r="O8" s="25"/>
      <c r="P8" s="18"/>
      <c r="Q8" s="6"/>
    </row>
    <row r="9" spans="1:17" s="167" customFormat="1" ht="21" thickBot="1">
      <c r="A9" s="340">
        <v>5</v>
      </c>
      <c r="B9" s="340" t="s">
        <v>177</v>
      </c>
      <c r="C9" s="403" t="s">
        <v>263</v>
      </c>
      <c r="D9" s="403"/>
      <c r="E9" s="403"/>
      <c r="F9" s="403"/>
      <c r="G9" s="403"/>
      <c r="H9" s="403"/>
      <c r="I9" s="449"/>
      <c r="J9" s="50">
        <v>0</v>
      </c>
      <c r="K9" s="113">
        <f t="shared" si="2"/>
        <v>7</v>
      </c>
      <c r="L9" s="177"/>
      <c r="M9" s="374"/>
      <c r="N9" s="182"/>
      <c r="O9" s="165"/>
      <c r="P9" s="176"/>
      <c r="Q9" s="170"/>
    </row>
    <row r="10" spans="1:17" s="167" customFormat="1" ht="21" thickBot="1">
      <c r="A10" s="340">
        <v>6</v>
      </c>
      <c r="B10" s="340" t="s">
        <v>210</v>
      </c>
      <c r="C10" s="403">
        <v>55</v>
      </c>
      <c r="D10" s="403"/>
      <c r="E10" s="403">
        <v>5</v>
      </c>
      <c r="F10" s="403">
        <v>56</v>
      </c>
      <c r="G10" s="403"/>
      <c r="H10" s="403"/>
      <c r="I10" s="449">
        <f t="shared" si="0"/>
        <v>56</v>
      </c>
      <c r="J10" s="50">
        <f t="shared" si="1"/>
        <v>50</v>
      </c>
      <c r="K10" s="113">
        <f t="shared" si="2"/>
        <v>1</v>
      </c>
      <c r="L10" s="177"/>
      <c r="M10" s="374"/>
      <c r="N10" s="182"/>
      <c r="O10" s="165"/>
      <c r="P10" s="176"/>
      <c r="Q10" s="170"/>
    </row>
    <row r="11" spans="1:17" ht="21" thickBot="1">
      <c r="A11" s="340">
        <v>7</v>
      </c>
      <c r="B11" s="340" t="s">
        <v>173</v>
      </c>
      <c r="C11" s="403">
        <v>53</v>
      </c>
      <c r="D11" s="403"/>
      <c r="E11" s="403">
        <v>5</v>
      </c>
      <c r="F11" s="403">
        <v>56</v>
      </c>
      <c r="G11" s="403">
        <v>1</v>
      </c>
      <c r="H11" s="403"/>
      <c r="I11" s="449">
        <f t="shared" si="0"/>
        <v>57</v>
      </c>
      <c r="J11" s="50">
        <f t="shared" si="1"/>
        <v>49.090909090909093</v>
      </c>
      <c r="K11" s="113">
        <f t="shared" si="2"/>
        <v>2</v>
      </c>
      <c r="L11" s="45"/>
      <c r="M11" s="374"/>
      <c r="N11" s="24"/>
      <c r="O11" s="25"/>
      <c r="P11" s="18"/>
      <c r="Q11" s="6"/>
    </row>
    <row r="12" spans="1:17" ht="24" thickBot="1">
      <c r="A12" s="340">
        <v>8</v>
      </c>
      <c r="B12" s="433" t="s">
        <v>179</v>
      </c>
      <c r="C12" s="403">
        <v>58</v>
      </c>
      <c r="D12" s="403"/>
      <c r="E12" s="403"/>
      <c r="F12" s="403">
        <v>54</v>
      </c>
      <c r="G12" s="403"/>
      <c r="H12" s="403">
        <v>5</v>
      </c>
      <c r="I12" s="449">
        <f t="shared" si="0"/>
        <v>58</v>
      </c>
      <c r="J12" s="50">
        <f t="shared" si="1"/>
        <v>48.18181818181818</v>
      </c>
      <c r="K12" s="113">
        <f t="shared" si="2"/>
        <v>3</v>
      </c>
      <c r="L12" s="45"/>
      <c r="M12" s="374"/>
      <c r="N12" s="24"/>
      <c r="O12" s="25"/>
      <c r="P12" s="18"/>
      <c r="Q12" s="6"/>
    </row>
    <row r="13" spans="1:17" ht="21" thickBot="1">
      <c r="A13" s="340">
        <v>9</v>
      </c>
      <c r="B13" s="340" t="s">
        <v>178</v>
      </c>
      <c r="C13" s="403" t="s">
        <v>183</v>
      </c>
      <c r="D13" s="403"/>
      <c r="E13" s="403"/>
      <c r="F13" s="403"/>
      <c r="G13" s="403"/>
      <c r="H13" s="403"/>
      <c r="I13" s="449"/>
      <c r="J13" s="50">
        <v>0</v>
      </c>
      <c r="K13" s="113">
        <f t="shared" si="2"/>
        <v>7</v>
      </c>
      <c r="L13" s="45"/>
      <c r="M13" s="374"/>
      <c r="N13" s="24"/>
      <c r="O13" s="25"/>
      <c r="P13" s="18"/>
      <c r="Q13" s="6"/>
    </row>
    <row r="14" spans="1:17" ht="23.4" customHeight="1" thickBot="1">
      <c r="A14" s="340">
        <v>10</v>
      </c>
      <c r="B14" s="340" t="s">
        <v>180</v>
      </c>
      <c r="C14" s="403">
        <v>1461</v>
      </c>
      <c r="D14" s="403"/>
      <c r="E14" s="403"/>
      <c r="F14" s="403">
        <v>106</v>
      </c>
      <c r="G14" s="403"/>
      <c r="H14" s="403">
        <v>5</v>
      </c>
      <c r="I14" s="449">
        <f t="shared" si="0"/>
        <v>111</v>
      </c>
      <c r="J14" s="50">
        <f t="shared" si="1"/>
        <v>0</v>
      </c>
      <c r="K14" s="113">
        <f t="shared" si="2"/>
        <v>7</v>
      </c>
      <c r="L14" s="45"/>
      <c r="M14" s="376"/>
      <c r="N14" s="24"/>
      <c r="O14" s="25"/>
      <c r="P14" s="18"/>
      <c r="Q14" s="6"/>
    </row>
    <row r="15" spans="1:17" ht="21" thickBot="1">
      <c r="A15" s="340">
        <v>11</v>
      </c>
      <c r="B15" s="340" t="s">
        <v>176</v>
      </c>
      <c r="C15" s="403">
        <v>102</v>
      </c>
      <c r="D15" s="403"/>
      <c r="E15" s="403"/>
      <c r="F15" s="403">
        <v>58</v>
      </c>
      <c r="G15" s="403"/>
      <c r="H15" s="403"/>
      <c r="I15" s="449">
        <f t="shared" si="0"/>
        <v>58</v>
      </c>
      <c r="J15" s="50">
        <f t="shared" si="1"/>
        <v>48.18181818181818</v>
      </c>
      <c r="K15" s="113">
        <f t="shared" si="2"/>
        <v>3</v>
      </c>
      <c r="L15" s="45"/>
      <c r="M15" s="375"/>
      <c r="N15" s="24"/>
      <c r="O15" s="25"/>
      <c r="P15" s="18"/>
      <c r="Q15" s="6"/>
    </row>
    <row r="16" spans="1:17" ht="21" thickBot="1">
      <c r="A16" s="340">
        <v>12</v>
      </c>
      <c r="B16" s="340" t="s">
        <v>174</v>
      </c>
      <c r="C16" s="403" t="s">
        <v>183</v>
      </c>
      <c r="D16" s="403"/>
      <c r="E16" s="403"/>
      <c r="F16" s="403"/>
      <c r="G16" s="403"/>
      <c r="H16" s="403"/>
      <c r="I16" s="449"/>
      <c r="J16" s="50">
        <v>0</v>
      </c>
      <c r="K16" s="113">
        <f t="shared" si="2"/>
        <v>7</v>
      </c>
      <c r="L16" s="45"/>
      <c r="M16" s="375"/>
      <c r="N16" s="24"/>
      <c r="O16" s="25"/>
      <c r="P16" s="18"/>
      <c r="Q16" s="6"/>
    </row>
    <row r="17" spans="1:17" s="119" customFormat="1" ht="21" thickBot="1">
      <c r="A17" s="340">
        <v>13</v>
      </c>
      <c r="B17" s="340" t="s">
        <v>211</v>
      </c>
      <c r="C17" s="403">
        <v>59</v>
      </c>
      <c r="D17" s="403"/>
      <c r="E17" s="403"/>
      <c r="F17" s="403">
        <v>57</v>
      </c>
      <c r="G17" s="403"/>
      <c r="H17" s="403">
        <v>5</v>
      </c>
      <c r="I17" s="449">
        <f t="shared" si="0"/>
        <v>59</v>
      </c>
      <c r="J17" s="50">
        <f t="shared" si="1"/>
        <v>47.272727272727273</v>
      </c>
      <c r="K17" s="309" t="s">
        <v>42</v>
      </c>
      <c r="L17" s="123"/>
      <c r="M17" s="374"/>
      <c r="N17" s="130"/>
      <c r="O17" s="131"/>
      <c r="P17" s="120"/>
      <c r="Q17" s="114"/>
    </row>
    <row r="18" spans="1:17" ht="21" thickBot="1">
      <c r="A18" s="340">
        <v>14</v>
      </c>
      <c r="B18" s="340" t="s">
        <v>175</v>
      </c>
      <c r="C18" s="404" t="s">
        <v>183</v>
      </c>
      <c r="D18" s="404"/>
      <c r="E18" s="404"/>
      <c r="F18" s="404"/>
      <c r="G18" s="404"/>
      <c r="H18" s="404"/>
      <c r="I18" s="449"/>
      <c r="J18" s="50">
        <v>0</v>
      </c>
      <c r="K18" s="113">
        <f t="shared" si="2"/>
        <v>7</v>
      </c>
      <c r="L18" s="6"/>
      <c r="M18" s="374"/>
      <c r="N18" s="6"/>
      <c r="O18" s="6"/>
      <c r="P18" s="6"/>
      <c r="Q18" s="6"/>
    </row>
    <row r="19" spans="1:17">
      <c r="C19" s="117"/>
      <c r="D19" s="117"/>
      <c r="E19" s="117"/>
      <c r="J19" s="238" t="s">
        <v>42</v>
      </c>
    </row>
    <row r="21" spans="1:17">
      <c r="I21" s="238" t="s">
        <v>116</v>
      </c>
      <c r="J21" s="238"/>
    </row>
    <row r="22" spans="1:17">
      <c r="I22" s="238" t="s">
        <v>113</v>
      </c>
      <c r="J22" s="245">
        <f>50/(J2-J3)</f>
        <v>0.90909090909090906</v>
      </c>
    </row>
    <row r="23" spans="1:17">
      <c r="I23" s="238" t="s">
        <v>114</v>
      </c>
      <c r="J23" s="196">
        <f>J22*J2</f>
        <v>100.90909090909091</v>
      </c>
    </row>
  </sheetData>
  <phoneticPr fontId="27" type="noConversion"/>
  <printOptions gridLines="1"/>
  <pageMargins left="0.75" right="0.75" top="1" bottom="1" header="0.5" footer="0.5"/>
  <pageSetup scale="90" fitToWidth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29"/>
  <sheetViews>
    <sheetView zoomScaleNormal="100" zoomScalePageLayoutView="125" workbookViewId="0">
      <pane xSplit="2" ySplit="3" topLeftCell="F4" activePane="bottomRight" state="frozen"/>
      <selection pane="topRight" activeCell="B1" sqref="B1"/>
      <selection pane="bottomLeft" activeCell="A4" sqref="A4"/>
      <selection pane="bottomRight" activeCell="B1" sqref="B1:C1"/>
    </sheetView>
  </sheetViews>
  <sheetFormatPr defaultColWidth="8.88671875" defaultRowHeight="13.2"/>
  <cols>
    <col min="2" max="2" width="54.109375" customWidth="1"/>
    <col min="3" max="3" width="12.44140625" customWidth="1"/>
    <col min="4" max="4" width="12.6640625" style="3" customWidth="1"/>
    <col min="5" max="5" width="12.33203125" style="3" customWidth="1"/>
    <col min="6" max="6" width="14" style="3" customWidth="1"/>
    <col min="7" max="7" width="10.6640625" style="3" customWidth="1"/>
    <col min="8" max="8" width="9.88671875" style="3" customWidth="1"/>
    <col min="9" max="9" width="15.6640625" style="239" customWidth="1"/>
    <col min="10" max="10" width="13.44140625" style="3" customWidth="1"/>
    <col min="11" max="11" width="5.44140625" style="140" bestFit="1" customWidth="1"/>
    <col min="12" max="12" width="26.6640625" customWidth="1"/>
  </cols>
  <sheetData>
    <row r="1" spans="1:14" ht="17.399999999999999">
      <c r="B1" s="559" t="s">
        <v>214</v>
      </c>
      <c r="C1" s="559"/>
      <c r="D1" s="18"/>
      <c r="E1" s="18"/>
      <c r="F1" s="18"/>
      <c r="G1" s="18"/>
      <c r="H1" s="18"/>
      <c r="I1" s="201"/>
      <c r="J1" s="18"/>
      <c r="K1" s="188"/>
      <c r="L1" s="6"/>
    </row>
    <row r="2" spans="1:14">
      <c r="B2" s="23"/>
      <c r="C2" s="23"/>
      <c r="D2" s="45"/>
      <c r="E2" s="45"/>
      <c r="F2" s="45"/>
      <c r="G2" s="45"/>
      <c r="H2" s="45"/>
      <c r="I2" s="200"/>
      <c r="J2" s="45"/>
      <c r="K2" s="188"/>
      <c r="L2" s="6"/>
    </row>
    <row r="3" spans="1:14" s="132" customFormat="1" ht="39.6">
      <c r="B3" s="301"/>
      <c r="C3" s="34" t="s">
        <v>37</v>
      </c>
      <c r="D3" s="34" t="s">
        <v>7</v>
      </c>
      <c r="E3" s="34" t="s">
        <v>57</v>
      </c>
      <c r="F3" s="34" t="s">
        <v>49</v>
      </c>
      <c r="G3" s="34" t="s">
        <v>77</v>
      </c>
      <c r="H3" s="34" t="s">
        <v>8</v>
      </c>
      <c r="I3" s="172" t="s">
        <v>58</v>
      </c>
      <c r="J3" s="34" t="s">
        <v>59</v>
      </c>
      <c r="K3" s="31" t="s">
        <v>56</v>
      </c>
      <c r="L3" s="34" t="s">
        <v>46</v>
      </c>
    </row>
    <row r="4" spans="1:14" s="270" customFormat="1" ht="20.399999999999999">
      <c r="A4" s="340">
        <v>2</v>
      </c>
      <c r="B4" s="340" t="s">
        <v>172</v>
      </c>
      <c r="C4" s="323"/>
      <c r="D4" s="324"/>
      <c r="E4" s="324"/>
      <c r="F4" s="323"/>
      <c r="G4" s="323"/>
      <c r="H4" s="377"/>
      <c r="I4" s="377">
        <v>100</v>
      </c>
      <c r="J4" s="323"/>
      <c r="K4" s="267">
        <f t="shared" ref="K4:K16" si="0">SUM(C4:J4)</f>
        <v>100</v>
      </c>
      <c r="L4" s="268"/>
    </row>
    <row r="5" spans="1:14" s="270" customFormat="1" ht="20.399999999999999">
      <c r="A5" s="340">
        <v>3</v>
      </c>
      <c r="B5" s="340" t="s">
        <v>171</v>
      </c>
      <c r="C5" s="323"/>
      <c r="D5" s="324"/>
      <c r="E5" s="324"/>
      <c r="F5" s="323"/>
      <c r="G5" s="323"/>
      <c r="H5" s="323"/>
      <c r="I5" s="377">
        <v>100</v>
      </c>
      <c r="J5" s="377"/>
      <c r="K5" s="267">
        <f t="shared" si="0"/>
        <v>100</v>
      </c>
      <c r="L5" s="281"/>
    </row>
    <row r="6" spans="1:14" s="270" customFormat="1" ht="42">
      <c r="A6" s="340">
        <v>4</v>
      </c>
      <c r="B6" s="340" t="s">
        <v>170</v>
      </c>
      <c r="C6" s="323"/>
      <c r="D6" s="324"/>
      <c r="E6" s="324"/>
      <c r="F6" s="323"/>
      <c r="G6" s="377">
        <v>-40</v>
      </c>
      <c r="H6" s="377"/>
      <c r="I6" s="377">
        <v>0</v>
      </c>
      <c r="J6" s="323"/>
      <c r="K6" s="267">
        <f t="shared" si="0"/>
        <v>-40</v>
      </c>
      <c r="L6" s="281" t="s">
        <v>225</v>
      </c>
    </row>
    <row r="7" spans="1:14" s="269" customFormat="1" ht="20.399999999999999">
      <c r="A7" s="340">
        <v>5</v>
      </c>
      <c r="B7" s="340" t="s">
        <v>177</v>
      </c>
      <c r="C7" s="323"/>
      <c r="D7" s="324"/>
      <c r="E7" s="324"/>
      <c r="F7" s="323"/>
      <c r="G7" s="323"/>
      <c r="H7" s="377"/>
      <c r="I7" s="377">
        <v>100</v>
      </c>
      <c r="J7" s="323"/>
      <c r="K7" s="267">
        <f t="shared" si="0"/>
        <v>100</v>
      </c>
      <c r="L7" s="281"/>
    </row>
    <row r="8" spans="1:14" s="269" customFormat="1" ht="20.399999999999999">
      <c r="A8" s="340">
        <v>6</v>
      </c>
      <c r="B8" s="340" t="s">
        <v>210</v>
      </c>
      <c r="C8" s="323"/>
      <c r="D8" s="324"/>
      <c r="E8" s="324"/>
      <c r="F8" s="323"/>
      <c r="G8" s="323"/>
      <c r="H8" s="323"/>
      <c r="I8" s="377">
        <v>100</v>
      </c>
      <c r="J8" s="323"/>
      <c r="K8" s="267">
        <f t="shared" si="0"/>
        <v>100</v>
      </c>
      <c r="L8" s="268"/>
      <c r="N8" s="270"/>
    </row>
    <row r="9" spans="1:14" s="270" customFormat="1" ht="20.399999999999999">
      <c r="A9" s="340">
        <v>7</v>
      </c>
      <c r="B9" s="340" t="s">
        <v>173</v>
      </c>
      <c r="C9" s="323"/>
      <c r="D9" s="324"/>
      <c r="E9" s="324"/>
      <c r="F9" s="323"/>
      <c r="G9" s="377"/>
      <c r="H9" s="323"/>
      <c r="I9" s="377">
        <v>100</v>
      </c>
      <c r="J9" s="377"/>
      <c r="K9" s="267">
        <f t="shared" si="0"/>
        <v>100</v>
      </c>
      <c r="L9" s="268"/>
    </row>
    <row r="10" spans="1:14" s="270" customFormat="1" ht="23.4">
      <c r="A10" s="340">
        <v>8</v>
      </c>
      <c r="B10" s="433" t="s">
        <v>179</v>
      </c>
      <c r="C10" s="323"/>
      <c r="D10" s="323"/>
      <c r="E10" s="324"/>
      <c r="F10" s="323"/>
      <c r="G10" s="377"/>
      <c r="H10" s="377"/>
      <c r="I10" s="377">
        <v>0</v>
      </c>
      <c r="J10" s="323"/>
      <c r="K10" s="267">
        <f t="shared" si="0"/>
        <v>0</v>
      </c>
      <c r="L10" s="268" t="s">
        <v>250</v>
      </c>
    </row>
    <row r="11" spans="1:14" s="270" customFormat="1" ht="20.399999999999999">
      <c r="A11" s="340">
        <v>9</v>
      </c>
      <c r="B11" s="340" t="s">
        <v>178</v>
      </c>
      <c r="C11" s="323"/>
      <c r="D11" s="324"/>
      <c r="E11" s="324"/>
      <c r="F11" s="323"/>
      <c r="G11" s="377">
        <v>-10</v>
      </c>
      <c r="H11" s="323"/>
      <c r="I11" s="377">
        <v>0</v>
      </c>
      <c r="J11" s="323"/>
      <c r="K11" s="267">
        <f t="shared" si="0"/>
        <v>-10</v>
      </c>
      <c r="L11" s="268" t="s">
        <v>196</v>
      </c>
    </row>
    <row r="12" spans="1:14" s="270" customFormat="1" ht="20.399999999999999">
      <c r="A12" s="340">
        <v>10</v>
      </c>
      <c r="B12" s="340" t="s">
        <v>180</v>
      </c>
      <c r="C12" s="323"/>
      <c r="D12" s="324"/>
      <c r="E12" s="324"/>
      <c r="F12" s="323"/>
      <c r="G12" s="377">
        <v>-40</v>
      </c>
      <c r="H12" s="323"/>
      <c r="I12" s="377">
        <v>0</v>
      </c>
      <c r="J12" s="323"/>
      <c r="K12" s="267">
        <f t="shared" si="0"/>
        <v>-40</v>
      </c>
      <c r="L12" s="268" t="s">
        <v>196</v>
      </c>
    </row>
    <row r="13" spans="1:14" s="270" customFormat="1" ht="20.399999999999999">
      <c r="A13" s="340">
        <v>11</v>
      </c>
      <c r="B13" s="340" t="s">
        <v>176</v>
      </c>
      <c r="C13" s="323"/>
      <c r="D13" s="324"/>
      <c r="E13" s="324"/>
      <c r="F13" s="323"/>
      <c r="G13" s="323"/>
      <c r="H13" s="323"/>
      <c r="I13" s="377">
        <v>0</v>
      </c>
      <c r="J13" s="323"/>
      <c r="K13" s="267">
        <f t="shared" si="0"/>
        <v>0</v>
      </c>
      <c r="L13" s="268" t="s">
        <v>249</v>
      </c>
    </row>
    <row r="14" spans="1:14" s="270" customFormat="1" ht="42">
      <c r="A14" s="340">
        <v>12</v>
      </c>
      <c r="B14" s="340" t="s">
        <v>174</v>
      </c>
      <c r="C14" s="323"/>
      <c r="D14" s="323"/>
      <c r="E14" s="324"/>
      <c r="F14" s="323"/>
      <c r="G14" s="377">
        <v>-20</v>
      </c>
      <c r="H14" s="377"/>
      <c r="I14" s="377">
        <v>0</v>
      </c>
      <c r="J14" s="323"/>
      <c r="K14" s="267">
        <f t="shared" si="0"/>
        <v>-20</v>
      </c>
      <c r="L14" s="281" t="s">
        <v>225</v>
      </c>
    </row>
    <row r="15" spans="1:14" s="271" customFormat="1" ht="20.399999999999999">
      <c r="A15" s="340">
        <v>13</v>
      </c>
      <c r="B15" s="340" t="s">
        <v>211</v>
      </c>
      <c r="C15" s="323"/>
      <c r="D15" s="323"/>
      <c r="E15" s="323"/>
      <c r="F15" s="323"/>
      <c r="G15" s="323"/>
      <c r="H15" s="323"/>
      <c r="I15" s="377">
        <v>100</v>
      </c>
      <c r="J15" s="323"/>
      <c r="K15" s="267">
        <f t="shared" si="0"/>
        <v>100</v>
      </c>
      <c r="L15" s="268"/>
    </row>
    <row r="16" spans="1:14" s="270" customFormat="1" ht="20.399999999999999">
      <c r="A16" s="340">
        <v>14</v>
      </c>
      <c r="B16" s="340" t="s">
        <v>175</v>
      </c>
      <c r="C16" s="323"/>
      <c r="D16" s="325"/>
      <c r="E16" s="324"/>
      <c r="F16" s="323"/>
      <c r="G16" s="377"/>
      <c r="H16" s="323"/>
      <c r="I16" s="377">
        <v>100</v>
      </c>
      <c r="J16" s="323"/>
      <c r="K16" s="267">
        <f t="shared" si="0"/>
        <v>100</v>
      </c>
      <c r="L16" s="272" t="s">
        <v>196</v>
      </c>
    </row>
    <row r="17" spans="2:12" ht="15">
      <c r="B17" s="21"/>
      <c r="C17" s="21"/>
      <c r="D17" s="219"/>
      <c r="E17" s="219"/>
      <c r="F17" s="219"/>
      <c r="G17" s="35"/>
      <c r="H17" s="45"/>
      <c r="I17" s="200"/>
      <c r="J17" s="300"/>
      <c r="K17" s="188"/>
      <c r="L17" s="6"/>
    </row>
    <row r="18" spans="2:12" ht="15">
      <c r="B18" s="21"/>
      <c r="C18" s="21"/>
      <c r="D18" s="219"/>
      <c r="E18" s="219" t="s">
        <v>162</v>
      </c>
      <c r="F18" s="560" t="s">
        <v>163</v>
      </c>
      <c r="G18" s="560"/>
      <c r="H18" s="358">
        <v>-20</v>
      </c>
      <c r="I18" s="200"/>
      <c r="J18" s="300"/>
      <c r="K18" s="188"/>
      <c r="L18" s="6"/>
    </row>
    <row r="19" spans="2:12" ht="15">
      <c r="B19" s="21"/>
      <c r="C19" s="21"/>
      <c r="D19" s="219"/>
      <c r="E19" s="219" t="s">
        <v>60</v>
      </c>
      <c r="F19" s="560" t="s">
        <v>164</v>
      </c>
      <c r="G19" s="560"/>
      <c r="H19" s="223">
        <v>20</v>
      </c>
      <c r="I19" s="200"/>
      <c r="J19" s="300"/>
      <c r="K19" s="188"/>
      <c r="L19" s="6"/>
    </row>
    <row r="20" spans="2:12" ht="15">
      <c r="B20" s="21"/>
      <c r="C20" s="21"/>
      <c r="D20" s="219"/>
      <c r="E20" s="410"/>
      <c r="F20" s="356"/>
      <c r="G20" s="357"/>
      <c r="H20" s="45"/>
      <c r="I20" s="200"/>
      <c r="J20" s="300"/>
      <c r="K20" s="188"/>
      <c r="L20" s="6"/>
    </row>
    <row r="21" spans="2:12" ht="15">
      <c r="B21" s="21"/>
      <c r="C21" s="21"/>
      <c r="D21" s="219"/>
      <c r="E21" s="219"/>
      <c r="F21" s="219"/>
      <c r="G21" s="35"/>
      <c r="H21" s="45"/>
      <c r="I21" s="200"/>
      <c r="J21" s="300"/>
      <c r="K21" s="188"/>
      <c r="L21" s="6"/>
    </row>
    <row r="22" spans="2:12" ht="15">
      <c r="B22" s="21"/>
      <c r="C22" s="21"/>
      <c r="D22" s="219"/>
      <c r="E22" s="219"/>
      <c r="F22" s="219"/>
      <c r="G22" s="35"/>
      <c r="H22" s="45"/>
      <c r="I22" s="200"/>
      <c r="J22" s="300"/>
      <c r="K22" s="188"/>
      <c r="L22" s="6"/>
    </row>
    <row r="23" spans="2:12" ht="15">
      <c r="B23" s="21"/>
      <c r="C23" s="21"/>
      <c r="D23" s="219"/>
      <c r="E23" s="219"/>
      <c r="F23" s="219"/>
      <c r="G23" s="35"/>
      <c r="H23" s="45"/>
      <c r="I23" s="200"/>
      <c r="J23" s="300"/>
      <c r="K23" s="188"/>
      <c r="L23" s="6"/>
    </row>
    <row r="24" spans="2:12">
      <c r="B24" s="21"/>
      <c r="C24" s="21"/>
      <c r="D24" s="219"/>
      <c r="E24" s="219"/>
      <c r="F24" s="219"/>
      <c r="G24" s="35"/>
      <c r="H24" s="45"/>
      <c r="I24" s="200"/>
      <c r="J24" s="45"/>
      <c r="K24" s="188"/>
      <c r="L24" s="6"/>
    </row>
    <row r="25" spans="2:12" ht="15">
      <c r="B25" s="21"/>
      <c r="C25" s="21"/>
      <c r="D25" s="219"/>
      <c r="E25" s="219"/>
      <c r="F25" s="219"/>
      <c r="G25" s="35"/>
      <c r="H25" s="45"/>
      <c r="I25" s="200"/>
      <c r="J25" s="300"/>
      <c r="K25" s="188"/>
      <c r="L25" s="6"/>
    </row>
    <row r="26" spans="2:12">
      <c r="B26" s="21"/>
      <c r="C26" s="21"/>
      <c r="D26" s="220"/>
      <c r="E26" s="220"/>
      <c r="F26" s="220"/>
      <c r="G26" s="35"/>
      <c r="H26" s="45"/>
      <c r="I26" s="200"/>
      <c r="J26" s="53"/>
    </row>
    <row r="27" spans="2:12">
      <c r="B27" s="1"/>
      <c r="C27" s="1"/>
      <c r="D27" s="53"/>
      <c r="E27" s="53"/>
      <c r="F27" s="53"/>
      <c r="G27" s="45"/>
      <c r="H27" s="53"/>
      <c r="I27" s="261"/>
      <c r="J27" s="53"/>
    </row>
    <row r="28" spans="2:12">
      <c r="B28" s="1"/>
      <c r="C28" s="1"/>
      <c r="D28" s="53"/>
      <c r="E28" s="53"/>
      <c r="F28" s="53"/>
      <c r="G28" s="53"/>
      <c r="H28" s="53"/>
      <c r="I28" s="261"/>
      <c r="J28" s="53"/>
    </row>
    <row r="29" spans="2:12">
      <c r="B29" s="1"/>
      <c r="C29" s="1"/>
      <c r="D29" s="53"/>
      <c r="E29" s="53"/>
      <c r="F29" s="53"/>
      <c r="G29" s="53"/>
      <c r="H29" s="53"/>
      <c r="I29" s="261"/>
      <c r="J29" s="53"/>
    </row>
  </sheetData>
  <mergeCells count="3">
    <mergeCell ref="B1:C1"/>
    <mergeCell ref="F18:G18"/>
    <mergeCell ref="F19:G19"/>
  </mergeCells>
  <phoneticPr fontId="27" type="noConversion"/>
  <printOptions gridLines="1"/>
  <pageMargins left="0.75" right="0.75" top="1" bottom="1" header="0.5" footer="0.5"/>
  <pageSetup scale="6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zoomScale="80" zoomScaleNormal="80" workbookViewId="0">
      <selection activeCell="B1" sqref="B1"/>
    </sheetView>
  </sheetViews>
  <sheetFormatPr defaultColWidth="8.88671875" defaultRowHeight="13.2"/>
  <cols>
    <col min="2" max="2" width="54.6640625" customWidth="1"/>
    <col min="3" max="6" width="10.33203125" customWidth="1"/>
    <col min="8" max="8" width="10.44140625" customWidth="1"/>
    <col min="10" max="10" width="10.109375" customWidth="1"/>
  </cols>
  <sheetData>
    <row r="1" spans="1:22" ht="17.399999999999999">
      <c r="B1" s="440" t="s">
        <v>213</v>
      </c>
      <c r="C1" s="28"/>
      <c r="D1" s="28"/>
      <c r="E1" s="28"/>
      <c r="F1" s="28" t="s">
        <v>54</v>
      </c>
      <c r="G1" s="29">
        <f>MAX(F4:F16)</f>
        <v>818</v>
      </c>
      <c r="H1" s="28" t="s">
        <v>55</v>
      </c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>
      <c r="B2" s="167" t="s">
        <v>101</v>
      </c>
      <c r="C2" s="28"/>
      <c r="D2" s="28"/>
      <c r="E2" s="28"/>
      <c r="F2" s="28" t="s">
        <v>53</v>
      </c>
      <c r="G2" s="29">
        <f>MIN(F4:F115)</f>
        <v>0</v>
      </c>
      <c r="H2" s="28" t="s">
        <v>55</v>
      </c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</row>
    <row r="3" spans="1:22">
      <c r="C3" s="110" t="s">
        <v>50</v>
      </c>
      <c r="D3" s="110" t="s">
        <v>51</v>
      </c>
      <c r="E3" s="110" t="s">
        <v>52</v>
      </c>
      <c r="F3" s="39" t="s">
        <v>24</v>
      </c>
      <c r="H3" s="34"/>
      <c r="I3" s="2" t="s">
        <v>27</v>
      </c>
    </row>
    <row r="4" spans="1:22" ht="20.399999999999999">
      <c r="A4" s="340">
        <v>2</v>
      </c>
      <c r="B4" s="340" t="s">
        <v>172</v>
      </c>
      <c r="C4" s="330">
        <v>173</v>
      </c>
      <c r="D4" s="331">
        <v>186</v>
      </c>
      <c r="E4" s="331">
        <v>358</v>
      </c>
      <c r="F4" s="334">
        <f>+C4+D4+E4</f>
        <v>717</v>
      </c>
      <c r="G4" s="122"/>
      <c r="H4" s="17"/>
      <c r="I4" s="17">
        <f t="shared" ref="I4:I16" si="0">RANK($F4,$F$4:$F$16)</f>
        <v>3</v>
      </c>
    </row>
    <row r="5" spans="1:22" ht="20.399999999999999">
      <c r="A5" s="340">
        <v>3</v>
      </c>
      <c r="B5" s="340" t="s">
        <v>171</v>
      </c>
      <c r="C5" s="332">
        <v>146</v>
      </c>
      <c r="D5" s="333">
        <v>160</v>
      </c>
      <c r="E5" s="333">
        <v>284</v>
      </c>
      <c r="F5" s="334">
        <f t="shared" ref="F5:F16" si="1">+C5+D5+E5</f>
        <v>590</v>
      </c>
      <c r="G5" s="320"/>
      <c r="H5" s="17"/>
      <c r="I5" s="17">
        <f t="shared" si="0"/>
        <v>9</v>
      </c>
      <c r="J5" s="280"/>
    </row>
    <row r="6" spans="1:22" ht="20.399999999999999">
      <c r="A6" s="340">
        <v>4</v>
      </c>
      <c r="B6" s="340" t="s">
        <v>170</v>
      </c>
      <c r="C6" s="332"/>
      <c r="D6" s="333"/>
      <c r="E6" s="333"/>
      <c r="F6" s="334">
        <f t="shared" si="1"/>
        <v>0</v>
      </c>
      <c r="G6" s="122"/>
      <c r="H6" s="17"/>
      <c r="I6" s="17">
        <f t="shared" si="0"/>
        <v>12</v>
      </c>
    </row>
    <row r="7" spans="1:22" s="175" customFormat="1" ht="20.399999999999999">
      <c r="A7" s="340">
        <v>5</v>
      </c>
      <c r="B7" s="340" t="s">
        <v>177</v>
      </c>
      <c r="C7" s="332">
        <v>191</v>
      </c>
      <c r="D7" s="333">
        <v>205</v>
      </c>
      <c r="E7" s="333">
        <v>341</v>
      </c>
      <c r="F7" s="334">
        <f t="shared" si="1"/>
        <v>737</v>
      </c>
      <c r="G7" s="335"/>
      <c r="H7" s="171"/>
      <c r="I7" s="367">
        <f t="shared" si="0"/>
        <v>2</v>
      </c>
      <c r="J7" s="280"/>
    </row>
    <row r="8" spans="1:22" s="175" customFormat="1" ht="20.399999999999999">
      <c r="A8" s="340">
        <v>6</v>
      </c>
      <c r="B8" s="340" t="s">
        <v>226</v>
      </c>
      <c r="C8" s="332">
        <v>159</v>
      </c>
      <c r="D8" s="333">
        <v>193</v>
      </c>
      <c r="E8" s="333">
        <v>466</v>
      </c>
      <c r="F8" s="334">
        <f t="shared" si="1"/>
        <v>818</v>
      </c>
      <c r="G8" s="167"/>
      <c r="H8" s="171"/>
      <c r="I8" s="17">
        <f t="shared" si="0"/>
        <v>1</v>
      </c>
    </row>
    <row r="9" spans="1:22" s="28" customFormat="1" ht="20.399999999999999">
      <c r="A9" s="340">
        <v>7</v>
      </c>
      <c r="B9" s="340" t="s">
        <v>173</v>
      </c>
      <c r="C9" s="332">
        <v>157</v>
      </c>
      <c r="D9" s="333">
        <v>177</v>
      </c>
      <c r="E9" s="333">
        <v>299</v>
      </c>
      <c r="F9" s="334">
        <f t="shared" si="1"/>
        <v>633</v>
      </c>
      <c r="G9" s="151"/>
      <c r="H9" s="17"/>
      <c r="I9" s="17">
        <f t="shared" si="0"/>
        <v>5</v>
      </c>
    </row>
    <row r="10" spans="1:22" ht="23.4">
      <c r="A10" s="340">
        <v>8</v>
      </c>
      <c r="B10" s="433" t="s">
        <v>179</v>
      </c>
      <c r="C10" s="332">
        <v>160</v>
      </c>
      <c r="D10" s="333">
        <v>163</v>
      </c>
      <c r="E10" s="333">
        <v>266</v>
      </c>
      <c r="F10" s="334">
        <f t="shared" si="1"/>
        <v>589</v>
      </c>
      <c r="G10" s="122"/>
      <c r="H10" s="17"/>
      <c r="I10" s="17">
        <f t="shared" si="0"/>
        <v>10</v>
      </c>
    </row>
    <row r="11" spans="1:22" ht="20.399999999999999">
      <c r="A11" s="340">
        <v>9</v>
      </c>
      <c r="B11" s="340" t="s">
        <v>178</v>
      </c>
      <c r="C11" s="332">
        <v>162</v>
      </c>
      <c r="D11" s="333">
        <v>165</v>
      </c>
      <c r="E11" s="333">
        <v>265</v>
      </c>
      <c r="F11" s="334">
        <f t="shared" si="1"/>
        <v>592</v>
      </c>
      <c r="G11" s="122"/>
      <c r="H11" s="17"/>
      <c r="I11" s="17">
        <f t="shared" si="0"/>
        <v>8</v>
      </c>
    </row>
    <row r="12" spans="1:22" ht="20.399999999999999">
      <c r="A12" s="340">
        <v>10</v>
      </c>
      <c r="B12" s="340" t="s">
        <v>180</v>
      </c>
      <c r="C12" s="332">
        <v>155</v>
      </c>
      <c r="D12" s="333">
        <v>160</v>
      </c>
      <c r="E12" s="333">
        <v>266</v>
      </c>
      <c r="F12" s="334">
        <f t="shared" si="1"/>
        <v>581</v>
      </c>
      <c r="G12" s="335"/>
      <c r="H12" s="17"/>
      <c r="I12" s="17">
        <f t="shared" si="0"/>
        <v>11</v>
      </c>
    </row>
    <row r="13" spans="1:22" ht="20.399999999999999">
      <c r="A13" s="340">
        <v>11</v>
      </c>
      <c r="B13" s="340" t="s">
        <v>176</v>
      </c>
      <c r="C13" s="332">
        <v>160</v>
      </c>
      <c r="D13" s="333">
        <v>187</v>
      </c>
      <c r="E13" s="333">
        <v>366</v>
      </c>
      <c r="F13" s="334">
        <f t="shared" si="1"/>
        <v>713</v>
      </c>
      <c r="G13" s="335"/>
      <c r="H13" s="17"/>
      <c r="I13" s="17">
        <f t="shared" si="0"/>
        <v>4</v>
      </c>
    </row>
    <row r="14" spans="1:22" ht="20.399999999999999">
      <c r="A14" s="340">
        <v>12</v>
      </c>
      <c r="B14" s="340" t="s">
        <v>174</v>
      </c>
      <c r="C14" s="332"/>
      <c r="D14" s="333"/>
      <c r="E14" s="333"/>
      <c r="F14" s="334">
        <f t="shared" si="1"/>
        <v>0</v>
      </c>
      <c r="G14" s="122"/>
      <c r="H14" s="17"/>
      <c r="I14" s="17">
        <f t="shared" si="0"/>
        <v>12</v>
      </c>
    </row>
    <row r="15" spans="1:22" ht="20.399999999999999">
      <c r="A15" s="340">
        <v>13</v>
      </c>
      <c r="B15" s="340" t="s">
        <v>211</v>
      </c>
      <c r="C15" s="332">
        <v>162</v>
      </c>
      <c r="D15" s="333">
        <v>171</v>
      </c>
      <c r="E15" s="333">
        <v>269</v>
      </c>
      <c r="F15" s="334">
        <f t="shared" si="1"/>
        <v>602</v>
      </c>
      <c r="G15" s="122"/>
      <c r="H15" s="17"/>
      <c r="I15" s="17">
        <f t="shared" si="0"/>
        <v>6</v>
      </c>
    </row>
    <row r="16" spans="1:22" ht="20.399999999999999">
      <c r="A16" s="340">
        <v>14</v>
      </c>
      <c r="B16" s="340" t="s">
        <v>175</v>
      </c>
      <c r="C16" s="332">
        <v>150</v>
      </c>
      <c r="D16" s="333">
        <v>186</v>
      </c>
      <c r="E16" s="333">
        <v>266</v>
      </c>
      <c r="F16" s="334">
        <f t="shared" si="1"/>
        <v>602</v>
      </c>
      <c r="G16" s="122"/>
      <c r="H16" s="17"/>
      <c r="I16" s="17">
        <f t="shared" si="0"/>
        <v>6</v>
      </c>
    </row>
    <row r="17" spans="6:6">
      <c r="F17" s="54"/>
    </row>
    <row r="18" spans="6:6">
      <c r="F18" s="54"/>
    </row>
    <row r="19" spans="6:6">
      <c r="F19" s="54"/>
    </row>
    <row r="20" spans="6:6">
      <c r="F20" s="54"/>
    </row>
    <row r="21" spans="6:6">
      <c r="F21" s="54"/>
    </row>
    <row r="22" spans="6:6">
      <c r="F22" s="54"/>
    </row>
    <row r="23" spans="6:6">
      <c r="F23" s="54"/>
    </row>
    <row r="24" spans="6:6">
      <c r="F24" s="54"/>
    </row>
    <row r="25" spans="6:6">
      <c r="F25" s="54"/>
    </row>
    <row r="26" spans="6:6">
      <c r="F26" s="54"/>
    </row>
    <row r="27" spans="6:6">
      <c r="F27" s="54"/>
    </row>
  </sheetData>
  <phoneticPr fontId="27" type="noConversion"/>
  <printOptions gridLines="1"/>
  <pageMargins left="0.75" right="0.75" top="1" bottom="1" header="0.5" footer="0.5"/>
  <pageSetup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61"/>
  <sheetViews>
    <sheetView zoomScale="75" zoomScaleNormal="75" zoomScalePageLayoutView="85" workbookViewId="0">
      <pane xSplit="2" ySplit="3" topLeftCell="C19" activePane="bottomRight" state="frozen"/>
      <selection pane="topRight" activeCell="C1" sqref="C1"/>
      <selection pane="bottomLeft" activeCell="A3" sqref="A3"/>
      <selection pane="bottomRight" activeCell="B1" sqref="B1"/>
    </sheetView>
  </sheetViews>
  <sheetFormatPr defaultColWidth="10.6640625" defaultRowHeight="13.2"/>
  <cols>
    <col min="1" max="1" width="12.33203125" style="136" bestFit="1" customWidth="1"/>
    <col min="2" max="2" width="1.21875" style="57" customWidth="1"/>
    <col min="3" max="3" width="14.44140625" style="136" customWidth="1"/>
    <col min="4" max="4" width="16" style="136" customWidth="1"/>
    <col min="5" max="5" width="18.6640625" style="136" customWidth="1"/>
    <col min="6" max="6" width="17.33203125" style="199" customWidth="1"/>
    <col min="7" max="7" width="16.21875" style="137" customWidth="1"/>
    <col min="8" max="8" width="10.6640625" style="174" customWidth="1"/>
    <col min="9" max="10" width="18.21875" style="136" customWidth="1"/>
    <col min="11" max="11" width="14.88671875" style="152" customWidth="1"/>
    <col min="12" max="12" width="10.6640625" style="136" customWidth="1"/>
    <col min="13" max="13" width="10.6640625" style="150" customWidth="1"/>
    <col min="14" max="14" width="15.33203125" style="150" customWidth="1"/>
    <col min="15" max="15" width="19.109375" style="298" customWidth="1"/>
    <col min="16" max="16" width="10.6640625" style="136"/>
    <col min="17" max="17" width="10.6640625" style="149"/>
    <col min="18" max="16384" width="10.6640625" style="57"/>
  </cols>
  <sheetData>
    <row r="1" spans="1:19" s="292" customFormat="1" ht="17.399999999999999">
      <c r="A1" s="436" t="s">
        <v>212</v>
      </c>
      <c r="C1" s="136"/>
      <c r="D1" s="136"/>
      <c r="E1" s="136"/>
      <c r="F1" s="199"/>
      <c r="G1" s="137"/>
      <c r="H1" s="174"/>
      <c r="I1" s="136"/>
      <c r="J1" s="136"/>
      <c r="K1" s="152"/>
      <c r="L1" s="136"/>
      <c r="M1" s="150"/>
      <c r="N1" s="150"/>
      <c r="O1" s="298"/>
      <c r="P1" s="136"/>
    </row>
    <row r="2" spans="1:19" s="292" customFormat="1" ht="17.399999999999999">
      <c r="A2" s="251"/>
      <c r="C2" s="136"/>
      <c r="D2" s="136"/>
      <c r="E2" s="136"/>
      <c r="F2" s="199"/>
      <c r="G2" s="137"/>
      <c r="H2" s="174"/>
      <c r="I2" s="136"/>
      <c r="J2" s="136"/>
      <c r="K2" s="152"/>
      <c r="L2" s="136"/>
      <c r="M2" s="150"/>
      <c r="N2" s="150"/>
      <c r="O2" s="298"/>
      <c r="P2" s="136"/>
    </row>
    <row r="3" spans="1:19" ht="27.6">
      <c r="A3" s="293" t="s">
        <v>145</v>
      </c>
      <c r="B3" s="293"/>
      <c r="C3" s="435">
        <v>2</v>
      </c>
      <c r="D3" s="435">
        <v>3</v>
      </c>
      <c r="E3" s="435">
        <v>4</v>
      </c>
      <c r="F3" s="435">
        <v>5</v>
      </c>
      <c r="G3" s="435">
        <v>6</v>
      </c>
      <c r="H3" s="435">
        <v>7</v>
      </c>
      <c r="I3" s="435">
        <v>8</v>
      </c>
      <c r="J3" s="435">
        <v>9</v>
      </c>
      <c r="K3" s="435">
        <v>10</v>
      </c>
      <c r="L3" s="435">
        <v>11</v>
      </c>
      <c r="M3" s="435">
        <v>12</v>
      </c>
      <c r="N3" s="435">
        <v>13</v>
      </c>
      <c r="O3" s="435">
        <v>14</v>
      </c>
      <c r="P3" s="239"/>
      <c r="Q3" s="184"/>
      <c r="R3" s="140"/>
      <c r="S3" s="140"/>
    </row>
    <row r="4" spans="1:19" ht="70.2">
      <c r="A4" s="387"/>
      <c r="B4" s="293"/>
      <c r="C4" s="435" t="s">
        <v>172</v>
      </c>
      <c r="D4" s="435" t="s">
        <v>171</v>
      </c>
      <c r="E4" s="435" t="s">
        <v>170</v>
      </c>
      <c r="F4" s="435" t="s">
        <v>177</v>
      </c>
      <c r="G4" s="435" t="s">
        <v>210</v>
      </c>
      <c r="H4" s="435" t="s">
        <v>173</v>
      </c>
      <c r="I4" s="434" t="s">
        <v>179</v>
      </c>
      <c r="J4" s="435" t="s">
        <v>178</v>
      </c>
      <c r="K4" s="435" t="s">
        <v>180</v>
      </c>
      <c r="L4" s="435" t="s">
        <v>176</v>
      </c>
      <c r="M4" s="435" t="s">
        <v>174</v>
      </c>
      <c r="N4" s="435" t="s">
        <v>211</v>
      </c>
      <c r="O4" s="435" t="s">
        <v>175</v>
      </c>
      <c r="P4" s="239"/>
      <c r="Q4" s="184"/>
      <c r="R4" s="238"/>
      <c r="S4" s="238"/>
    </row>
    <row r="5" spans="1:19" s="257" customFormat="1">
      <c r="A5" s="291">
        <v>1</v>
      </c>
      <c r="B5" s="326"/>
      <c r="C5" s="327"/>
      <c r="D5" s="327"/>
      <c r="E5" s="327"/>
      <c r="F5" s="327"/>
      <c r="G5" s="327"/>
      <c r="H5" s="327"/>
      <c r="I5" s="327"/>
      <c r="J5" s="327"/>
      <c r="K5" s="327"/>
      <c r="L5" s="327">
        <v>77</v>
      </c>
      <c r="M5" s="327">
        <v>68</v>
      </c>
      <c r="N5" s="327">
        <v>37</v>
      </c>
      <c r="O5" s="328">
        <v>65</v>
      </c>
      <c r="P5" s="291">
        <f t="shared" ref="P5:P55" si="0">COUNTA(C5:O5)</f>
        <v>4</v>
      </c>
      <c r="Q5" s="256"/>
    </row>
    <row r="6" spans="1:19">
      <c r="A6" s="291">
        <f>A5+1</f>
        <v>2</v>
      </c>
      <c r="B6" s="399"/>
      <c r="C6" s="327">
        <v>75</v>
      </c>
      <c r="D6" s="327">
        <v>57</v>
      </c>
      <c r="E6" s="327">
        <v>63</v>
      </c>
      <c r="F6" s="327">
        <v>34</v>
      </c>
      <c r="G6" s="327">
        <v>62</v>
      </c>
      <c r="H6" s="327">
        <v>82</v>
      </c>
      <c r="I6" s="327">
        <v>36</v>
      </c>
      <c r="J6" s="327">
        <v>34</v>
      </c>
      <c r="K6" s="327">
        <v>41</v>
      </c>
      <c r="L6" s="327">
        <v>29</v>
      </c>
      <c r="M6" s="327">
        <v>46</v>
      </c>
      <c r="N6" s="327">
        <v>30</v>
      </c>
      <c r="O6" s="328">
        <v>39</v>
      </c>
      <c r="P6" s="291">
        <f t="shared" si="0"/>
        <v>13</v>
      </c>
      <c r="Q6" s="184"/>
      <c r="R6" s="140"/>
      <c r="S6" s="140"/>
    </row>
    <row r="7" spans="1:19">
      <c r="A7" s="291">
        <f t="shared" ref="A7:A55" si="1">A6+1</f>
        <v>3</v>
      </c>
      <c r="B7" s="258"/>
      <c r="C7" s="327">
        <v>73</v>
      </c>
      <c r="D7" s="327">
        <v>49</v>
      </c>
      <c r="E7" s="327"/>
      <c r="F7" s="327"/>
      <c r="G7" s="327"/>
      <c r="H7" s="327"/>
      <c r="I7" s="327"/>
      <c r="J7" s="327">
        <v>28</v>
      </c>
      <c r="K7" s="327">
        <v>48</v>
      </c>
      <c r="L7" s="327"/>
      <c r="M7" s="327"/>
      <c r="N7" s="327">
        <v>33</v>
      </c>
      <c r="O7" s="328"/>
      <c r="P7" s="291">
        <f t="shared" si="0"/>
        <v>5</v>
      </c>
    </row>
    <row r="8" spans="1:19">
      <c r="A8" s="291">
        <f t="shared" si="1"/>
        <v>4</v>
      </c>
      <c r="B8" s="258"/>
      <c r="C8" s="327">
        <v>87</v>
      </c>
      <c r="D8" s="327">
        <v>74</v>
      </c>
      <c r="E8" s="327">
        <v>43</v>
      </c>
      <c r="F8" s="327">
        <v>51</v>
      </c>
      <c r="G8" s="327">
        <v>81</v>
      </c>
      <c r="H8" s="327">
        <v>84</v>
      </c>
      <c r="I8" s="327">
        <v>72</v>
      </c>
      <c r="J8" s="327">
        <v>33</v>
      </c>
      <c r="K8" s="327">
        <v>53</v>
      </c>
      <c r="L8" s="327">
        <v>58</v>
      </c>
      <c r="M8" s="327">
        <v>43</v>
      </c>
      <c r="N8" s="327"/>
      <c r="O8" s="328"/>
      <c r="P8" s="291">
        <f t="shared" si="0"/>
        <v>11</v>
      </c>
      <c r="Q8" s="239"/>
      <c r="R8" s="238"/>
      <c r="S8" s="238"/>
    </row>
    <row r="9" spans="1:19">
      <c r="A9" s="291">
        <f t="shared" si="1"/>
        <v>5</v>
      </c>
      <c r="B9" s="258"/>
      <c r="C9" s="327">
        <v>90</v>
      </c>
      <c r="D9" s="327"/>
      <c r="E9" s="327"/>
      <c r="F9" s="327"/>
      <c r="G9" s="327"/>
      <c r="H9" s="327"/>
      <c r="I9" s="327"/>
      <c r="J9" s="327"/>
      <c r="K9" s="327"/>
      <c r="L9" s="327"/>
      <c r="M9" s="327"/>
      <c r="N9" s="327">
        <v>19</v>
      </c>
      <c r="O9" s="328"/>
      <c r="P9" s="291">
        <f t="shared" si="0"/>
        <v>2</v>
      </c>
      <c r="Q9" s="184"/>
      <c r="R9" s="140"/>
      <c r="S9" s="167"/>
    </row>
    <row r="10" spans="1:19" s="140" customFormat="1">
      <c r="A10" s="291">
        <f t="shared" si="1"/>
        <v>6</v>
      </c>
      <c r="B10" s="258"/>
      <c r="C10" s="327">
        <v>78</v>
      </c>
      <c r="D10" s="327">
        <v>71</v>
      </c>
      <c r="E10" s="327">
        <v>38</v>
      </c>
      <c r="F10" s="327">
        <v>50</v>
      </c>
      <c r="G10" s="327">
        <v>85</v>
      </c>
      <c r="H10" s="327">
        <v>82</v>
      </c>
      <c r="I10" s="327">
        <v>69</v>
      </c>
      <c r="J10" s="327">
        <v>53</v>
      </c>
      <c r="K10" s="327">
        <v>55</v>
      </c>
      <c r="L10" s="327">
        <v>43</v>
      </c>
      <c r="M10" s="327">
        <v>61</v>
      </c>
      <c r="N10" s="327">
        <v>44</v>
      </c>
      <c r="O10" s="328">
        <v>60</v>
      </c>
      <c r="P10" s="291">
        <f t="shared" si="0"/>
        <v>13</v>
      </c>
      <c r="Q10" s="184"/>
    </row>
    <row r="11" spans="1:19">
      <c r="A11" s="291">
        <f t="shared" si="1"/>
        <v>7</v>
      </c>
      <c r="B11" s="307"/>
      <c r="C11" s="327"/>
      <c r="D11" s="327"/>
      <c r="E11" s="327"/>
      <c r="F11" s="327">
        <v>55</v>
      </c>
      <c r="G11" s="327">
        <v>93</v>
      </c>
      <c r="H11" s="327">
        <v>72</v>
      </c>
      <c r="I11" s="327">
        <v>76</v>
      </c>
      <c r="J11" s="327"/>
      <c r="K11" s="327"/>
      <c r="L11" s="327"/>
      <c r="M11" s="327"/>
      <c r="N11" s="327"/>
      <c r="O11" s="328"/>
      <c r="P11" s="291">
        <f t="shared" si="0"/>
        <v>4</v>
      </c>
      <c r="Q11" s="184"/>
      <c r="R11" s="238"/>
      <c r="S11" s="238"/>
    </row>
    <row r="12" spans="1:19">
      <c r="A12" s="291">
        <f t="shared" si="1"/>
        <v>8</v>
      </c>
      <c r="B12" s="307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>
        <v>29</v>
      </c>
      <c r="O12" s="328">
        <v>72</v>
      </c>
      <c r="P12" s="291">
        <f t="shared" si="0"/>
        <v>2</v>
      </c>
      <c r="Q12" s="184"/>
      <c r="R12" s="140"/>
      <c r="S12" s="140"/>
    </row>
    <row r="13" spans="1:19">
      <c r="A13" s="291">
        <f t="shared" si="1"/>
        <v>9</v>
      </c>
      <c r="B13" s="307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8">
        <f>7+12+5+4+3+3+7+3</f>
        <v>44</v>
      </c>
      <c r="P13" s="291">
        <f t="shared" si="0"/>
        <v>1</v>
      </c>
      <c r="Q13" s="184"/>
      <c r="R13" s="238"/>
      <c r="S13" s="238"/>
    </row>
    <row r="14" spans="1:19">
      <c r="A14" s="291">
        <f t="shared" si="1"/>
        <v>10</v>
      </c>
      <c r="B14" s="307"/>
      <c r="C14" s="327"/>
      <c r="D14" s="327"/>
      <c r="E14" s="327"/>
      <c r="F14" s="327">
        <v>51</v>
      </c>
      <c r="G14" s="327">
        <v>80</v>
      </c>
      <c r="H14" s="327">
        <v>67</v>
      </c>
      <c r="I14" s="327">
        <v>77</v>
      </c>
      <c r="J14" s="327"/>
      <c r="K14" s="327"/>
      <c r="L14" s="327"/>
      <c r="M14" s="327"/>
      <c r="N14" s="327"/>
      <c r="O14" s="328"/>
      <c r="P14" s="291">
        <f t="shared" si="0"/>
        <v>4</v>
      </c>
      <c r="Q14" s="184"/>
      <c r="R14" s="238"/>
      <c r="S14" s="238"/>
    </row>
    <row r="15" spans="1:19">
      <c r="A15" s="291">
        <f t="shared" si="1"/>
        <v>11</v>
      </c>
      <c r="B15" s="30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>
        <v>33</v>
      </c>
      <c r="O15" s="328"/>
      <c r="P15" s="291">
        <f t="shared" si="0"/>
        <v>1</v>
      </c>
      <c r="Q15" s="184"/>
      <c r="R15" s="140"/>
      <c r="S15" s="140"/>
    </row>
    <row r="16" spans="1:19">
      <c r="A16" s="291">
        <f t="shared" si="1"/>
        <v>12</v>
      </c>
      <c r="B16" s="307"/>
      <c r="C16" s="327"/>
      <c r="D16" s="327"/>
      <c r="E16" s="327"/>
      <c r="F16" s="327"/>
      <c r="G16" s="327">
        <f>9+25+15+14+10+10+10+5</f>
        <v>98</v>
      </c>
      <c r="H16" s="327">
        <f>8+22+13+14+10+10+10+5</f>
        <v>92</v>
      </c>
      <c r="I16" s="327">
        <f>9+24+14+15+10+10+10+5</f>
        <v>97</v>
      </c>
      <c r="J16" s="327">
        <f>8+21+14+13+9+9+9+5</f>
        <v>88</v>
      </c>
      <c r="K16" s="327"/>
      <c r="L16" s="327">
        <v>92</v>
      </c>
      <c r="M16" s="327"/>
      <c r="N16" s="327"/>
      <c r="O16" s="328"/>
      <c r="P16" s="291">
        <f t="shared" si="0"/>
        <v>5</v>
      </c>
      <c r="Q16" s="184"/>
      <c r="R16" s="140"/>
      <c r="S16" s="140"/>
    </row>
    <row r="17" spans="1:20">
      <c r="A17" s="291">
        <f t="shared" si="1"/>
        <v>13</v>
      </c>
      <c r="B17" s="307"/>
      <c r="C17" s="327">
        <v>78</v>
      </c>
      <c r="D17" s="327">
        <v>73</v>
      </c>
      <c r="E17" s="327">
        <v>55</v>
      </c>
      <c r="F17" s="327">
        <v>31</v>
      </c>
      <c r="G17" s="327">
        <v>76</v>
      </c>
      <c r="H17" s="327">
        <v>94</v>
      </c>
      <c r="I17" s="327">
        <v>41</v>
      </c>
      <c r="J17" s="327">
        <v>41</v>
      </c>
      <c r="K17" s="327">
        <v>25</v>
      </c>
      <c r="L17" s="327">
        <v>42</v>
      </c>
      <c r="M17" s="327">
        <v>20</v>
      </c>
      <c r="N17" s="327">
        <v>20</v>
      </c>
      <c r="O17" s="328">
        <v>19</v>
      </c>
      <c r="P17" s="291">
        <f t="shared" si="0"/>
        <v>13</v>
      </c>
      <c r="Q17" s="184"/>
      <c r="R17" s="140"/>
      <c r="S17" s="140"/>
    </row>
    <row r="18" spans="1:20">
      <c r="A18" s="291">
        <f t="shared" si="1"/>
        <v>14</v>
      </c>
      <c r="B18" s="258"/>
      <c r="C18" s="327"/>
      <c r="D18" s="327"/>
      <c r="E18" s="327"/>
      <c r="F18" s="327"/>
      <c r="G18" s="327"/>
      <c r="H18" s="327"/>
      <c r="I18" s="327"/>
      <c r="J18" s="327"/>
      <c r="K18" s="327"/>
      <c r="L18" s="327">
        <f>10+22+15+15+10+8+6+2</f>
        <v>88</v>
      </c>
      <c r="M18" s="327">
        <f>10+20+12+13+8+8+10+3</f>
        <v>84</v>
      </c>
      <c r="N18" s="327">
        <f>6+12+12+6+5+6+6+2</f>
        <v>55</v>
      </c>
      <c r="O18" s="328">
        <f>10+18+12+12+7+7+7+3</f>
        <v>76</v>
      </c>
      <c r="P18" s="291">
        <f t="shared" si="0"/>
        <v>4</v>
      </c>
      <c r="Q18" s="184"/>
      <c r="R18" s="140"/>
      <c r="S18" s="140"/>
    </row>
    <row r="19" spans="1:20">
      <c r="A19" s="291">
        <f t="shared" si="1"/>
        <v>15</v>
      </c>
      <c r="B19" s="307"/>
      <c r="C19" s="327"/>
      <c r="D19" s="327"/>
      <c r="E19" s="327"/>
      <c r="F19" s="327"/>
      <c r="G19" s="327"/>
      <c r="H19" s="327"/>
      <c r="I19" s="327"/>
      <c r="J19" s="327"/>
      <c r="K19" s="327">
        <v>90</v>
      </c>
      <c r="L19" s="327"/>
      <c r="M19" s="327">
        <v>74</v>
      </c>
      <c r="N19" s="327">
        <v>48</v>
      </c>
      <c r="O19" s="328"/>
      <c r="P19" s="291">
        <f t="shared" si="0"/>
        <v>3</v>
      </c>
      <c r="Q19" s="184"/>
      <c r="R19" s="140"/>
      <c r="S19" s="140"/>
    </row>
    <row r="20" spans="1:20">
      <c r="A20" s="291">
        <f t="shared" si="1"/>
        <v>16</v>
      </c>
      <c r="B20" s="307"/>
      <c r="C20" s="327">
        <v>93</v>
      </c>
      <c r="D20" s="327">
        <v>89</v>
      </c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8"/>
      <c r="P20" s="291">
        <f t="shared" si="0"/>
        <v>2</v>
      </c>
      <c r="Q20" s="184"/>
      <c r="R20" s="140"/>
      <c r="S20" s="140"/>
    </row>
    <row r="21" spans="1:20">
      <c r="A21" s="291">
        <f t="shared" si="1"/>
        <v>17</v>
      </c>
      <c r="B21" s="258"/>
      <c r="C21" s="327">
        <v>85</v>
      </c>
      <c r="D21" s="327">
        <v>75</v>
      </c>
      <c r="E21" s="327">
        <v>63</v>
      </c>
      <c r="F21" s="327"/>
      <c r="G21" s="327"/>
      <c r="H21" s="327"/>
      <c r="I21" s="327"/>
      <c r="J21" s="327"/>
      <c r="K21" s="327"/>
      <c r="L21" s="327"/>
      <c r="M21" s="327"/>
      <c r="N21" s="327"/>
      <c r="O21" s="328"/>
      <c r="P21" s="291">
        <f t="shared" si="0"/>
        <v>3</v>
      </c>
      <c r="Q21" s="184"/>
      <c r="R21" s="140"/>
      <c r="S21" s="140"/>
    </row>
    <row r="22" spans="1:20">
      <c r="A22" s="291">
        <f t="shared" si="1"/>
        <v>18</v>
      </c>
      <c r="B22" s="258"/>
      <c r="C22" s="327"/>
      <c r="D22" s="327"/>
      <c r="E22" s="327"/>
      <c r="F22" s="327"/>
      <c r="G22" s="327">
        <v>92</v>
      </c>
      <c r="H22" s="327"/>
      <c r="I22" s="327"/>
      <c r="J22" s="327"/>
      <c r="K22" s="327"/>
      <c r="L22" s="327"/>
      <c r="M22" s="327"/>
      <c r="N22" s="327"/>
      <c r="O22" s="328"/>
      <c r="P22" s="291">
        <f t="shared" si="0"/>
        <v>1</v>
      </c>
      <c r="Q22" s="184"/>
      <c r="R22" s="238"/>
      <c r="S22" s="238"/>
    </row>
    <row r="23" spans="1:20">
      <c r="A23" s="291">
        <f t="shared" si="1"/>
        <v>19</v>
      </c>
      <c r="B23" s="258"/>
      <c r="C23" s="327"/>
      <c r="D23" s="327"/>
      <c r="E23" s="327"/>
      <c r="F23" s="327">
        <v>80</v>
      </c>
      <c r="G23" s="327"/>
      <c r="H23" s="327"/>
      <c r="I23" s="327"/>
      <c r="J23" s="327"/>
      <c r="K23" s="327"/>
      <c r="L23" s="327">
        <v>66</v>
      </c>
      <c r="M23" s="327">
        <v>52</v>
      </c>
      <c r="N23" s="327">
        <v>24</v>
      </c>
      <c r="O23" s="328">
        <v>61</v>
      </c>
      <c r="P23" s="291">
        <f t="shared" si="0"/>
        <v>5</v>
      </c>
      <c r="Q23" s="184"/>
      <c r="R23" s="238"/>
      <c r="S23" s="238"/>
    </row>
    <row r="24" spans="1:20">
      <c r="A24" s="291">
        <f t="shared" si="1"/>
        <v>20</v>
      </c>
      <c r="B24" s="258"/>
      <c r="C24" s="327">
        <v>74</v>
      </c>
      <c r="D24" s="327">
        <v>88</v>
      </c>
      <c r="E24" s="327">
        <v>66</v>
      </c>
      <c r="F24" s="327">
        <v>64</v>
      </c>
      <c r="G24" s="327"/>
      <c r="H24" s="327"/>
      <c r="I24" s="327"/>
      <c r="J24" s="327"/>
      <c r="K24" s="327"/>
      <c r="L24" s="327"/>
      <c r="M24" s="327"/>
      <c r="N24" s="327"/>
      <c r="O24" s="328"/>
      <c r="P24" s="291">
        <f t="shared" si="0"/>
        <v>4</v>
      </c>
    </row>
    <row r="25" spans="1:20">
      <c r="A25" s="291">
        <f t="shared" si="1"/>
        <v>21</v>
      </c>
      <c r="B25" s="258"/>
      <c r="C25" s="327"/>
      <c r="D25" s="327">
        <v>91</v>
      </c>
      <c r="E25" s="327">
        <v>55</v>
      </c>
      <c r="F25" s="327"/>
      <c r="G25" s="327"/>
      <c r="H25" s="327"/>
      <c r="I25" s="327"/>
      <c r="J25" s="327"/>
      <c r="K25" s="327"/>
      <c r="L25" s="327"/>
      <c r="M25" s="327"/>
      <c r="N25" s="327"/>
      <c r="O25" s="328"/>
      <c r="P25" s="291">
        <f t="shared" si="0"/>
        <v>2</v>
      </c>
      <c r="Q25" s="184"/>
      <c r="R25" s="238"/>
      <c r="S25" s="238"/>
    </row>
    <row r="26" spans="1:20">
      <c r="A26" s="291">
        <f t="shared" si="1"/>
        <v>22</v>
      </c>
      <c r="B26" s="258"/>
      <c r="C26" s="327"/>
      <c r="D26" s="327"/>
      <c r="E26" s="327"/>
      <c r="F26" s="327"/>
      <c r="G26" s="327">
        <v>90</v>
      </c>
      <c r="H26" s="327">
        <v>65</v>
      </c>
      <c r="I26" s="327">
        <v>50</v>
      </c>
      <c r="J26" s="327">
        <v>49</v>
      </c>
      <c r="K26" s="327"/>
      <c r="L26" s="327"/>
      <c r="M26" s="327"/>
      <c r="N26" s="327"/>
      <c r="O26" s="328"/>
      <c r="P26" s="291">
        <f t="shared" si="0"/>
        <v>4</v>
      </c>
    </row>
    <row r="27" spans="1:20">
      <c r="A27" s="291">
        <f t="shared" si="1"/>
        <v>23</v>
      </c>
      <c r="B27" s="258"/>
      <c r="C27" s="327"/>
      <c r="D27" s="327"/>
      <c r="E27" s="327"/>
      <c r="F27" s="327"/>
      <c r="G27" s="327"/>
      <c r="H27" s="327"/>
      <c r="I27" s="327"/>
      <c r="J27" s="327"/>
      <c r="K27" s="327">
        <v>67</v>
      </c>
      <c r="L27" s="327">
        <v>61</v>
      </c>
      <c r="M27" s="327">
        <v>70</v>
      </c>
      <c r="N27" s="327">
        <v>65</v>
      </c>
      <c r="O27" s="328"/>
      <c r="P27" s="291">
        <f t="shared" si="0"/>
        <v>4</v>
      </c>
      <c r="Q27" s="184"/>
      <c r="R27" s="140"/>
      <c r="S27" s="140"/>
    </row>
    <row r="28" spans="1:20">
      <c r="A28" s="291">
        <f t="shared" si="1"/>
        <v>24</v>
      </c>
      <c r="B28" s="258"/>
      <c r="C28" s="327">
        <v>83</v>
      </c>
      <c r="D28" s="327">
        <v>78</v>
      </c>
      <c r="E28" s="327">
        <v>60</v>
      </c>
      <c r="F28" s="327">
        <v>62</v>
      </c>
      <c r="G28" s="327">
        <v>73</v>
      </c>
      <c r="H28" s="327">
        <v>73</v>
      </c>
      <c r="I28" s="327">
        <v>66</v>
      </c>
      <c r="J28" s="327">
        <v>40</v>
      </c>
      <c r="K28" s="327">
        <v>43</v>
      </c>
      <c r="L28" s="327">
        <v>42</v>
      </c>
      <c r="M28" s="327">
        <v>56</v>
      </c>
      <c r="N28" s="327">
        <v>32</v>
      </c>
      <c r="O28" s="328">
        <v>39</v>
      </c>
      <c r="P28" s="291">
        <f t="shared" si="0"/>
        <v>13</v>
      </c>
      <c r="Q28" s="184"/>
      <c r="R28" s="140"/>
      <c r="S28" s="140"/>
    </row>
    <row r="29" spans="1:20">
      <c r="A29" s="291">
        <f t="shared" si="1"/>
        <v>25</v>
      </c>
      <c r="B29" s="258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>
        <v>51</v>
      </c>
      <c r="O29" s="328">
        <v>63</v>
      </c>
      <c r="P29" s="291">
        <f t="shared" si="0"/>
        <v>2</v>
      </c>
      <c r="Q29" s="184"/>
      <c r="R29" s="140"/>
      <c r="S29" s="140"/>
    </row>
    <row r="30" spans="1:20">
      <c r="A30" s="291">
        <f t="shared" si="1"/>
        <v>26</v>
      </c>
      <c r="B30" s="258"/>
      <c r="C30" s="327"/>
      <c r="D30" s="327"/>
      <c r="E30" s="327"/>
      <c r="F30" s="327"/>
      <c r="G30" s="327"/>
      <c r="H30" s="327"/>
      <c r="I30" s="327"/>
      <c r="J30" s="327"/>
      <c r="K30" s="327">
        <v>54</v>
      </c>
      <c r="L30" s="327">
        <v>63</v>
      </c>
      <c r="M30" s="327">
        <v>72</v>
      </c>
      <c r="N30" s="327">
        <v>51</v>
      </c>
      <c r="O30" s="328"/>
      <c r="P30" s="291">
        <f t="shared" si="0"/>
        <v>4</v>
      </c>
      <c r="Q30" s="184"/>
      <c r="R30" s="140"/>
      <c r="S30" s="140"/>
      <c r="T30" s="238"/>
    </row>
    <row r="31" spans="1:20">
      <c r="A31" s="291">
        <f t="shared" si="1"/>
        <v>27</v>
      </c>
      <c r="B31" s="258"/>
      <c r="C31" s="327"/>
      <c r="D31" s="327"/>
      <c r="E31" s="327"/>
      <c r="F31" s="327"/>
      <c r="G31" s="327"/>
      <c r="H31" s="327">
        <v>75</v>
      </c>
      <c r="I31" s="327"/>
      <c r="J31" s="327"/>
      <c r="K31" s="327"/>
      <c r="L31" s="327"/>
      <c r="M31" s="327"/>
      <c r="N31" s="327"/>
      <c r="O31" s="328"/>
      <c r="P31" s="291">
        <f t="shared" si="0"/>
        <v>1</v>
      </c>
      <c r="Q31" s="184"/>
      <c r="R31" s="140"/>
      <c r="S31" s="140"/>
      <c r="T31" s="197"/>
    </row>
    <row r="32" spans="1:20">
      <c r="A32" s="291">
        <f t="shared" si="1"/>
        <v>28</v>
      </c>
      <c r="B32" s="258"/>
      <c r="C32" s="327"/>
      <c r="D32" s="327"/>
      <c r="E32" s="327"/>
      <c r="F32" s="327"/>
      <c r="G32" s="327"/>
      <c r="H32" s="327"/>
      <c r="I32" s="327"/>
      <c r="J32" s="327"/>
      <c r="K32" s="327"/>
      <c r="L32" s="327"/>
      <c r="M32" s="327"/>
      <c r="N32" s="327">
        <v>26</v>
      </c>
      <c r="O32" s="328">
        <v>52</v>
      </c>
      <c r="P32" s="291">
        <f t="shared" si="0"/>
        <v>2</v>
      </c>
      <c r="Q32" s="184"/>
      <c r="R32" s="238"/>
      <c r="S32" s="238"/>
      <c r="T32" s="197"/>
    </row>
    <row r="33" spans="1:17">
      <c r="A33" s="291">
        <f t="shared" si="1"/>
        <v>29</v>
      </c>
      <c r="B33" s="258"/>
      <c r="C33" s="327"/>
      <c r="D33" s="327"/>
      <c r="E33" s="327"/>
      <c r="F33" s="327"/>
      <c r="G33" s="327"/>
      <c r="H33" s="327"/>
      <c r="I33" s="327"/>
      <c r="J33" s="327"/>
      <c r="K33" s="327"/>
      <c r="L33" s="327"/>
      <c r="M33" s="327"/>
      <c r="N33" s="327">
        <v>34</v>
      </c>
      <c r="O33" s="328">
        <v>54</v>
      </c>
      <c r="P33" s="291">
        <f t="shared" si="0"/>
        <v>2</v>
      </c>
    </row>
    <row r="34" spans="1:17">
      <c r="A34" s="291">
        <f t="shared" si="1"/>
        <v>30</v>
      </c>
      <c r="B34" s="258"/>
      <c r="C34" s="327"/>
      <c r="D34" s="327"/>
      <c r="E34" s="327"/>
      <c r="F34" s="327"/>
      <c r="G34" s="327"/>
      <c r="H34" s="327"/>
      <c r="I34" s="327"/>
      <c r="J34" s="327"/>
      <c r="K34" s="327">
        <v>67</v>
      </c>
      <c r="L34" s="327">
        <v>78</v>
      </c>
      <c r="M34" s="327">
        <v>63</v>
      </c>
      <c r="N34" s="327">
        <v>41</v>
      </c>
      <c r="O34" s="328"/>
      <c r="P34" s="291">
        <f t="shared" si="0"/>
        <v>4</v>
      </c>
    </row>
    <row r="35" spans="1:17">
      <c r="A35" s="291">
        <f t="shared" si="1"/>
        <v>31</v>
      </c>
      <c r="B35" s="258"/>
      <c r="C35" s="327">
        <v>88</v>
      </c>
      <c r="D35" s="327">
        <v>86</v>
      </c>
      <c r="E35" s="327">
        <v>80</v>
      </c>
      <c r="F35" s="327">
        <v>52</v>
      </c>
      <c r="G35" s="327"/>
      <c r="H35" s="327"/>
      <c r="I35" s="327"/>
      <c r="J35" s="327"/>
      <c r="K35" s="327"/>
      <c r="L35" s="327"/>
      <c r="M35" s="327"/>
      <c r="N35" s="327"/>
      <c r="O35" s="328"/>
      <c r="P35" s="291">
        <f t="shared" si="0"/>
        <v>4</v>
      </c>
    </row>
    <row r="36" spans="1:17">
      <c r="A36" s="291">
        <f t="shared" si="1"/>
        <v>32</v>
      </c>
      <c r="B36" s="258"/>
      <c r="C36" s="327"/>
      <c r="D36" s="327"/>
      <c r="E36" s="327"/>
      <c r="F36" s="327"/>
      <c r="G36" s="327"/>
      <c r="H36" s="327"/>
      <c r="I36" s="327"/>
      <c r="J36" s="327">
        <v>23</v>
      </c>
      <c r="K36" s="327">
        <v>31</v>
      </c>
      <c r="L36" s="327">
        <v>38</v>
      </c>
      <c r="M36" s="327">
        <v>40</v>
      </c>
      <c r="N36" s="327"/>
      <c r="O36" s="328"/>
      <c r="P36" s="291">
        <f t="shared" si="0"/>
        <v>4</v>
      </c>
    </row>
    <row r="37" spans="1:17">
      <c r="A37" s="291">
        <f t="shared" si="1"/>
        <v>33</v>
      </c>
      <c r="B37" s="258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8">
        <v>75</v>
      </c>
      <c r="P37" s="291">
        <f t="shared" si="0"/>
        <v>1</v>
      </c>
    </row>
    <row r="38" spans="1:17">
      <c r="A38" s="291">
        <f t="shared" si="1"/>
        <v>34</v>
      </c>
      <c r="B38" s="258"/>
      <c r="C38" s="327"/>
      <c r="D38" s="327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8"/>
      <c r="P38" s="291">
        <f t="shared" si="0"/>
        <v>0</v>
      </c>
    </row>
    <row r="39" spans="1:17">
      <c r="A39" s="291">
        <f t="shared" si="1"/>
        <v>35</v>
      </c>
      <c r="B39" s="258"/>
      <c r="C39" s="327"/>
      <c r="D39" s="327"/>
      <c r="E39" s="327"/>
      <c r="F39" s="327"/>
      <c r="G39" s="327"/>
      <c r="H39" s="327"/>
      <c r="I39" s="327"/>
      <c r="J39" s="327"/>
      <c r="K39" s="327"/>
      <c r="L39" s="327"/>
      <c r="M39" s="327"/>
      <c r="N39" s="327"/>
      <c r="O39" s="328"/>
      <c r="P39" s="291">
        <f t="shared" si="0"/>
        <v>0</v>
      </c>
    </row>
    <row r="40" spans="1:17">
      <c r="A40" s="291">
        <f t="shared" si="1"/>
        <v>36</v>
      </c>
      <c r="B40" s="329"/>
      <c r="C40" s="327"/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8"/>
      <c r="P40" s="291">
        <f t="shared" si="0"/>
        <v>0</v>
      </c>
    </row>
    <row r="41" spans="1:17" s="257" customFormat="1">
      <c r="A41" s="291">
        <f t="shared" si="1"/>
        <v>37</v>
      </c>
      <c r="B41" s="258"/>
      <c r="C41" s="327"/>
      <c r="D41" s="327"/>
      <c r="E41" s="327"/>
      <c r="F41" s="327"/>
      <c r="G41" s="327"/>
      <c r="H41" s="327"/>
      <c r="I41" s="327"/>
      <c r="J41" s="327"/>
      <c r="K41" s="327"/>
      <c r="L41" s="327"/>
      <c r="M41" s="327"/>
      <c r="N41" s="327"/>
      <c r="O41" s="328"/>
      <c r="P41" s="291">
        <f t="shared" si="0"/>
        <v>0</v>
      </c>
      <c r="Q41" s="256"/>
    </row>
    <row r="42" spans="1:17">
      <c r="A42" s="291">
        <f t="shared" si="1"/>
        <v>38</v>
      </c>
      <c r="B42" s="258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8"/>
      <c r="P42" s="291">
        <f t="shared" si="0"/>
        <v>0</v>
      </c>
    </row>
    <row r="43" spans="1:17">
      <c r="A43" s="291">
        <f t="shared" si="1"/>
        <v>39</v>
      </c>
      <c r="B43" s="258"/>
      <c r="C43" s="327"/>
      <c r="D43" s="327"/>
      <c r="E43" s="327"/>
      <c r="F43" s="327"/>
      <c r="G43" s="327"/>
      <c r="H43" s="327"/>
      <c r="I43" s="327"/>
      <c r="J43" s="327"/>
      <c r="K43" s="327"/>
      <c r="L43" s="327"/>
      <c r="M43" s="327"/>
      <c r="N43" s="327"/>
      <c r="O43" s="328"/>
      <c r="P43" s="291">
        <f t="shared" si="0"/>
        <v>0</v>
      </c>
    </row>
    <row r="44" spans="1:17">
      <c r="A44" s="291">
        <f t="shared" si="1"/>
        <v>40</v>
      </c>
      <c r="B44" s="258"/>
      <c r="C44" s="327"/>
      <c r="D44" s="327"/>
      <c r="E44" s="327"/>
      <c r="F44" s="327"/>
      <c r="G44" s="327"/>
      <c r="H44" s="327"/>
      <c r="I44" s="327"/>
      <c r="J44" s="327"/>
      <c r="K44" s="327"/>
      <c r="L44" s="327"/>
      <c r="M44" s="327"/>
      <c r="N44" s="327"/>
      <c r="O44" s="328"/>
      <c r="P44" s="291">
        <f t="shared" si="0"/>
        <v>0</v>
      </c>
    </row>
    <row r="45" spans="1:17">
      <c r="A45" s="291">
        <f t="shared" si="1"/>
        <v>41</v>
      </c>
      <c r="B45" s="258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8"/>
      <c r="P45" s="291">
        <f t="shared" si="0"/>
        <v>0</v>
      </c>
    </row>
    <row r="46" spans="1:17">
      <c r="A46" s="291">
        <f t="shared" si="1"/>
        <v>42</v>
      </c>
      <c r="B46" s="258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8"/>
      <c r="P46" s="291">
        <f t="shared" si="0"/>
        <v>0</v>
      </c>
    </row>
    <row r="47" spans="1:17" s="238" customFormat="1">
      <c r="A47" s="291">
        <f t="shared" si="1"/>
        <v>43</v>
      </c>
      <c r="B47" s="258"/>
      <c r="C47" s="327"/>
      <c r="D47" s="327"/>
      <c r="E47" s="327"/>
      <c r="F47" s="327"/>
      <c r="G47" s="327"/>
      <c r="H47" s="327"/>
      <c r="I47" s="327"/>
      <c r="J47" s="327"/>
      <c r="K47" s="327"/>
      <c r="L47" s="327"/>
      <c r="M47" s="327"/>
      <c r="N47" s="327"/>
      <c r="O47" s="328"/>
      <c r="P47" s="291">
        <f t="shared" si="0"/>
        <v>0</v>
      </c>
      <c r="Q47" s="184"/>
    </row>
    <row r="48" spans="1:17">
      <c r="A48" s="291">
        <f t="shared" si="1"/>
        <v>44</v>
      </c>
      <c r="B48" s="258"/>
      <c r="C48" s="327"/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8"/>
      <c r="P48" s="291">
        <f t="shared" si="0"/>
        <v>0</v>
      </c>
    </row>
    <row r="49" spans="1:17">
      <c r="A49" s="291">
        <f t="shared" si="1"/>
        <v>45</v>
      </c>
      <c r="B49" s="258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8"/>
      <c r="P49" s="291">
        <f t="shared" si="0"/>
        <v>0</v>
      </c>
    </row>
    <row r="50" spans="1:17">
      <c r="A50" s="291">
        <f t="shared" si="1"/>
        <v>46</v>
      </c>
      <c r="B50" s="258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8"/>
      <c r="P50" s="291">
        <f t="shared" si="0"/>
        <v>0</v>
      </c>
    </row>
    <row r="51" spans="1:17">
      <c r="A51" s="291">
        <f t="shared" si="1"/>
        <v>47</v>
      </c>
      <c r="B51" s="258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8"/>
      <c r="P51" s="291">
        <f t="shared" si="0"/>
        <v>0</v>
      </c>
    </row>
    <row r="52" spans="1:17">
      <c r="A52" s="291">
        <f t="shared" si="1"/>
        <v>48</v>
      </c>
      <c r="B52" s="258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8"/>
      <c r="P52" s="291">
        <f t="shared" si="0"/>
        <v>0</v>
      </c>
    </row>
    <row r="53" spans="1:17">
      <c r="A53" s="291">
        <f t="shared" si="1"/>
        <v>49</v>
      </c>
      <c r="B53" s="258"/>
      <c r="C53" s="327"/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8"/>
      <c r="P53" s="291">
        <f t="shared" si="0"/>
        <v>0</v>
      </c>
    </row>
    <row r="54" spans="1:17">
      <c r="A54" s="291">
        <f t="shared" si="1"/>
        <v>50</v>
      </c>
      <c r="B54" s="258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8"/>
      <c r="P54" s="291">
        <f t="shared" si="0"/>
        <v>0</v>
      </c>
    </row>
    <row r="55" spans="1:17">
      <c r="A55" s="291">
        <f t="shared" si="1"/>
        <v>51</v>
      </c>
      <c r="B55" s="258"/>
      <c r="C55" s="327"/>
      <c r="D55" s="327"/>
      <c r="E55" s="327"/>
      <c r="F55" s="327"/>
      <c r="G55" s="327"/>
      <c r="H55" s="327"/>
      <c r="I55" s="327"/>
      <c r="J55" s="327"/>
      <c r="K55" s="327"/>
      <c r="L55" s="327"/>
      <c r="M55" s="327"/>
      <c r="N55" s="327"/>
      <c r="O55" s="328"/>
      <c r="P55" s="291">
        <f t="shared" si="0"/>
        <v>0</v>
      </c>
    </row>
    <row r="57" spans="1:17">
      <c r="A57" s="239" t="s">
        <v>67</v>
      </c>
      <c r="C57" s="259">
        <f>AVERAGE(C5:C55)</f>
        <v>82.181818181818187</v>
      </c>
      <c r="D57" s="259">
        <f t="shared" ref="D57:O57" si="2">AVERAGE(D5:D55)</f>
        <v>75.545454545454547</v>
      </c>
      <c r="E57" s="259">
        <f t="shared" si="2"/>
        <v>58.111111111111114</v>
      </c>
      <c r="F57" s="259">
        <f t="shared" si="2"/>
        <v>53</v>
      </c>
      <c r="G57" s="259">
        <f t="shared" si="2"/>
        <v>83</v>
      </c>
      <c r="H57" s="259">
        <f t="shared" si="2"/>
        <v>78.599999999999994</v>
      </c>
      <c r="I57" s="259">
        <f t="shared" si="2"/>
        <v>64.888888888888886</v>
      </c>
      <c r="J57" s="259">
        <f t="shared" si="2"/>
        <v>43.222222222222221</v>
      </c>
      <c r="K57" s="259">
        <f t="shared" si="2"/>
        <v>52.18181818181818</v>
      </c>
      <c r="L57" s="259">
        <f t="shared" si="2"/>
        <v>59.769230769230766</v>
      </c>
      <c r="M57" s="259">
        <f t="shared" si="2"/>
        <v>57.615384615384613</v>
      </c>
      <c r="N57" s="259">
        <f t="shared" si="2"/>
        <v>37.333333333333336</v>
      </c>
      <c r="O57" s="259">
        <f t="shared" si="2"/>
        <v>55.307692307692307</v>
      </c>
    </row>
    <row r="58" spans="1:17">
      <c r="A58" s="239" t="s">
        <v>48</v>
      </c>
      <c r="B58" s="238" t="s">
        <v>195</v>
      </c>
      <c r="C58" s="259">
        <f>IF(C57&lt;5, 5,C57)</f>
        <v>82.181818181818187</v>
      </c>
      <c r="D58" s="259">
        <f t="shared" ref="D58:L58" si="3">IF(D57&lt;5, 5,D57)</f>
        <v>75.545454545454547</v>
      </c>
      <c r="E58" s="259">
        <f t="shared" si="3"/>
        <v>58.111111111111114</v>
      </c>
      <c r="F58" s="259">
        <f t="shared" si="3"/>
        <v>53</v>
      </c>
      <c r="G58" s="259">
        <f t="shared" si="3"/>
        <v>83</v>
      </c>
      <c r="H58" s="259">
        <f t="shared" si="3"/>
        <v>78.599999999999994</v>
      </c>
      <c r="I58" s="259">
        <f t="shared" si="3"/>
        <v>64.888888888888886</v>
      </c>
      <c r="J58" s="259">
        <f t="shared" si="3"/>
        <v>43.222222222222221</v>
      </c>
      <c r="K58" s="259">
        <f t="shared" si="3"/>
        <v>52.18181818181818</v>
      </c>
      <c r="L58" s="259">
        <f t="shared" si="3"/>
        <v>59.769230769230766</v>
      </c>
      <c r="M58" s="259">
        <f>IF(M57&lt;5, 5,M57)</f>
        <v>57.615384615384613</v>
      </c>
      <c r="N58" s="259">
        <f>IF(N57&lt;5, 5,N57)</f>
        <v>37.333333333333336</v>
      </c>
      <c r="O58" s="259">
        <f>IF(O57&lt;5, 5,O57)</f>
        <v>55.307692307692307</v>
      </c>
    </row>
    <row r="59" spans="1:17">
      <c r="M59" s="136"/>
      <c r="O59" s="299"/>
      <c r="Q59" s="238" t="s">
        <v>118</v>
      </c>
    </row>
    <row r="60" spans="1:17">
      <c r="A60" s="239"/>
      <c r="B60" s="238" t="s">
        <v>229</v>
      </c>
      <c r="C60" s="239">
        <f>RANK(C57,$C$57:$O$57)</f>
        <v>2</v>
      </c>
      <c r="D60" s="239">
        <f t="shared" ref="D60:O60" si="4">RANK(D57,$C$57:$O$57)</f>
        <v>4</v>
      </c>
      <c r="E60" s="239">
        <f t="shared" si="4"/>
        <v>7</v>
      </c>
      <c r="F60" s="239">
        <f t="shared" si="4"/>
        <v>10</v>
      </c>
      <c r="G60" s="239">
        <f t="shared" si="4"/>
        <v>1</v>
      </c>
      <c r="H60" s="239">
        <f t="shared" si="4"/>
        <v>3</v>
      </c>
      <c r="I60" s="239">
        <f t="shared" si="4"/>
        <v>5</v>
      </c>
      <c r="J60" s="239">
        <f t="shared" si="4"/>
        <v>12</v>
      </c>
      <c r="K60" s="239">
        <f t="shared" si="4"/>
        <v>11</v>
      </c>
      <c r="L60" s="239">
        <f t="shared" si="4"/>
        <v>6</v>
      </c>
      <c r="M60" s="239">
        <f t="shared" si="4"/>
        <v>8</v>
      </c>
      <c r="N60" s="239">
        <f t="shared" si="4"/>
        <v>13</v>
      </c>
      <c r="O60" s="239">
        <f t="shared" si="4"/>
        <v>9</v>
      </c>
      <c r="Q60" s="238" t="s">
        <v>119</v>
      </c>
    </row>
    <row r="61" spans="1:17">
      <c r="B61" s="239"/>
      <c r="C61" s="239"/>
      <c r="D61" s="239"/>
      <c r="E61" s="239"/>
      <c r="F61" s="239"/>
      <c r="G61" s="239"/>
      <c r="H61" s="239"/>
      <c r="I61" s="239"/>
      <c r="J61" s="239"/>
      <c r="K61" s="239"/>
      <c r="L61" s="239"/>
      <c r="M61" s="239"/>
      <c r="N61" s="239"/>
      <c r="O61" s="195"/>
    </row>
  </sheetData>
  <phoneticPr fontId="27" type="noConversion"/>
  <printOptions gridLines="1"/>
  <pageMargins left="0.75" right="0.75" top="1" bottom="1" header="0.5" footer="0.5"/>
  <pageSetup scale="4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25"/>
  <sheetViews>
    <sheetView zoomScale="75" workbookViewId="0">
      <selection activeCell="C5" sqref="C5:C18"/>
    </sheetView>
  </sheetViews>
  <sheetFormatPr defaultColWidth="8.88671875" defaultRowHeight="13.2"/>
  <cols>
    <col min="2" max="2" width="53.88671875" customWidth="1"/>
  </cols>
  <sheetData>
    <row r="1" spans="1:4" ht="17.399999999999999">
      <c r="B1" s="389" t="s">
        <v>224</v>
      </c>
      <c r="C1" s="6"/>
      <c r="D1" s="6"/>
    </row>
    <row r="2" spans="1:4">
      <c r="B2" s="6"/>
      <c r="C2" s="6"/>
      <c r="D2" s="6"/>
    </row>
    <row r="3" spans="1:4">
      <c r="B3" s="6"/>
      <c r="C3" s="6"/>
      <c r="D3" s="6"/>
    </row>
    <row r="4" spans="1:4">
      <c r="B4" s="23"/>
      <c r="C4" s="22" t="s">
        <v>9</v>
      </c>
      <c r="D4" s="20"/>
    </row>
    <row r="5" spans="1:4" ht="20.399999999999999">
      <c r="A5" s="340">
        <v>2</v>
      </c>
      <c r="B5" s="340" t="s">
        <v>172</v>
      </c>
      <c r="C5" s="352">
        <v>50</v>
      </c>
    </row>
    <row r="6" spans="1:4" ht="20.399999999999999">
      <c r="A6" s="340">
        <v>3</v>
      </c>
      <c r="B6" s="340" t="s">
        <v>171</v>
      </c>
      <c r="C6" s="352">
        <v>50</v>
      </c>
    </row>
    <row r="7" spans="1:4" ht="20.399999999999999">
      <c r="A7" s="340">
        <v>4</v>
      </c>
      <c r="B7" s="340" t="s">
        <v>170</v>
      </c>
      <c r="C7" s="352">
        <v>50</v>
      </c>
    </row>
    <row r="8" spans="1:4" s="175" customFormat="1" ht="20.399999999999999">
      <c r="A8" s="340">
        <v>5</v>
      </c>
      <c r="B8" s="340" t="s">
        <v>177</v>
      </c>
      <c r="C8" s="352">
        <v>50</v>
      </c>
    </row>
    <row r="9" spans="1:4" ht="20.399999999999999">
      <c r="A9" s="340">
        <v>6</v>
      </c>
      <c r="B9" s="340" t="s">
        <v>210</v>
      </c>
      <c r="C9" s="352">
        <v>50</v>
      </c>
    </row>
    <row r="10" spans="1:4" ht="20.399999999999999">
      <c r="A10" s="340">
        <v>7</v>
      </c>
      <c r="B10" s="340" t="s">
        <v>173</v>
      </c>
      <c r="C10" s="352">
        <v>50</v>
      </c>
    </row>
    <row r="11" spans="1:4" ht="23.4">
      <c r="A11" s="340">
        <v>8</v>
      </c>
      <c r="B11" s="433" t="s">
        <v>179</v>
      </c>
      <c r="C11" s="352">
        <v>50</v>
      </c>
    </row>
    <row r="12" spans="1:4" ht="20.399999999999999">
      <c r="A12" s="340">
        <v>9</v>
      </c>
      <c r="B12" s="340" t="s">
        <v>178</v>
      </c>
      <c r="C12" s="352">
        <v>50</v>
      </c>
    </row>
    <row r="13" spans="1:4" ht="20.399999999999999">
      <c r="A13" s="340">
        <v>10</v>
      </c>
      <c r="B13" s="340" t="s">
        <v>180</v>
      </c>
      <c r="C13" s="352">
        <v>50</v>
      </c>
    </row>
    <row r="14" spans="1:4" s="119" customFormat="1" ht="20.399999999999999">
      <c r="A14" s="340">
        <v>11</v>
      </c>
      <c r="B14" s="340" t="s">
        <v>176</v>
      </c>
      <c r="C14" s="352">
        <v>50</v>
      </c>
    </row>
    <row r="15" spans="1:4" ht="20.399999999999999">
      <c r="A15" s="340">
        <v>12</v>
      </c>
      <c r="B15" s="340" t="s">
        <v>174</v>
      </c>
      <c r="C15" s="352">
        <v>50</v>
      </c>
    </row>
    <row r="16" spans="1:4" ht="20.399999999999999">
      <c r="A16" s="340">
        <v>13</v>
      </c>
      <c r="B16" s="340" t="s">
        <v>211</v>
      </c>
      <c r="C16" s="352">
        <v>50</v>
      </c>
    </row>
    <row r="17" spans="1:3" ht="20.399999999999999">
      <c r="A17" s="340">
        <v>14</v>
      </c>
      <c r="B17" s="340" t="s">
        <v>175</v>
      </c>
      <c r="C17" s="352">
        <v>50</v>
      </c>
    </row>
    <row r="18" spans="1:3" ht="18">
      <c r="B18" s="266"/>
      <c r="C18" s="352">
        <v>50</v>
      </c>
    </row>
    <row r="19" spans="1:3">
      <c r="C19" s="238" t="s">
        <v>126</v>
      </c>
    </row>
    <row r="20" spans="1:3">
      <c r="B20" s="21"/>
    </row>
    <row r="21" spans="1:3">
      <c r="B21" s="21"/>
    </row>
    <row r="22" spans="1:3">
      <c r="B22" s="21"/>
    </row>
    <row r="23" spans="1:3">
      <c r="B23" s="21"/>
    </row>
    <row r="24" spans="1:3">
      <c r="B24" s="21"/>
    </row>
    <row r="25" spans="1:3">
      <c r="B25" s="21"/>
    </row>
  </sheetData>
  <phoneticPr fontId="27" type="noConversion"/>
  <printOptions gridLines="1"/>
  <pageMargins left="0.75" right="0.75" top="1" bottom="1" header="0.5" footer="0.5"/>
  <pageSetup scale="97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zoomScale="70" zoomScaleNormal="70" workbookViewId="0">
      <selection activeCell="B1" sqref="B1"/>
    </sheetView>
  </sheetViews>
  <sheetFormatPr defaultColWidth="8.88671875" defaultRowHeight="13.2"/>
  <cols>
    <col min="2" max="2" width="54.6640625" customWidth="1"/>
    <col min="3" max="3" width="11.44140625" bestFit="1" customWidth="1"/>
    <col min="4" max="4" width="12.44140625" customWidth="1"/>
    <col min="5" max="5" width="9.109375" hidden="1" customWidth="1"/>
    <col min="6" max="6" width="8.88671875" style="167"/>
    <col min="8" max="8" width="16.44140625" hidden="1" customWidth="1"/>
    <col min="9" max="9" width="11.44140625" customWidth="1"/>
    <col min="10" max="10" width="13.44140625" customWidth="1"/>
    <col min="11" max="11" width="13.109375" customWidth="1"/>
  </cols>
  <sheetData>
    <row r="1" spans="1:16" ht="17.399999999999999">
      <c r="B1" s="389" t="s">
        <v>223</v>
      </c>
      <c r="C1" s="6"/>
      <c r="D1" s="6"/>
      <c r="E1" s="6"/>
    </row>
    <row r="2" spans="1:16" s="57" customFormat="1">
      <c r="B2" s="33"/>
      <c r="C2" s="33"/>
      <c r="D2" s="33"/>
      <c r="E2" s="33"/>
      <c r="F2" s="167"/>
    </row>
    <row r="3" spans="1:16" s="57" customFormat="1">
      <c r="B3" s="33"/>
      <c r="C3" s="58"/>
      <c r="D3" s="70"/>
      <c r="E3" s="33"/>
      <c r="F3" s="167"/>
    </row>
    <row r="4" spans="1:16" s="57" customFormat="1">
      <c r="B4" s="33"/>
      <c r="C4" s="58"/>
      <c r="D4" s="70"/>
      <c r="E4" s="33"/>
      <c r="F4" s="167"/>
    </row>
    <row r="5" spans="1:16" s="57" customFormat="1" ht="17.399999999999999">
      <c r="B5" s="23"/>
      <c r="C5" s="23"/>
      <c r="D5" s="23"/>
      <c r="E5" s="33"/>
      <c r="F5" s="167"/>
      <c r="I5" s="242"/>
    </row>
    <row r="6" spans="1:16" ht="52.8">
      <c r="B6" s="112" t="s">
        <v>100</v>
      </c>
      <c r="C6" s="112"/>
      <c r="D6" s="112" t="s">
        <v>63</v>
      </c>
      <c r="E6" s="112"/>
      <c r="F6" s="208" t="s">
        <v>120</v>
      </c>
      <c r="G6" s="208"/>
      <c r="H6" s="208"/>
      <c r="I6" s="208" t="s">
        <v>97</v>
      </c>
      <c r="J6" s="208" t="s">
        <v>98</v>
      </c>
      <c r="K6" s="208" t="s">
        <v>99</v>
      </c>
      <c r="L6" s="208"/>
      <c r="M6" s="208" t="s">
        <v>123</v>
      </c>
      <c r="N6" s="208" t="s">
        <v>27</v>
      </c>
    </row>
    <row r="7" spans="1:16" ht="20.399999999999999">
      <c r="A7" s="340">
        <v>2</v>
      </c>
      <c r="B7" s="340" t="s">
        <v>172</v>
      </c>
      <c r="D7" s="516">
        <v>13591</v>
      </c>
      <c r="E7" s="202"/>
      <c r="F7" s="245">
        <f t="shared" ref="F7:F18" si="0">-($C$24*D7)+$C$25</f>
        <v>12.697535130154339</v>
      </c>
      <c r="G7" s="46"/>
      <c r="I7" s="518">
        <v>8</v>
      </c>
      <c r="J7" s="519">
        <v>9</v>
      </c>
      <c r="K7" s="519">
        <v>6</v>
      </c>
      <c r="L7" s="46"/>
      <c r="M7" s="197">
        <f>IF(SUM(F7:K7)&lt;2.5,2.5,SUM(F7:K7))</f>
        <v>35.697535130154336</v>
      </c>
      <c r="N7" s="195">
        <f t="shared" ref="N7:N16" si="1">RANK(M7,$M$7:$M$19)</f>
        <v>6</v>
      </c>
    </row>
    <row r="8" spans="1:16" ht="20.399999999999999">
      <c r="A8" s="340">
        <v>3</v>
      </c>
      <c r="B8" s="340" t="s">
        <v>171</v>
      </c>
      <c r="D8" s="516">
        <v>10421</v>
      </c>
      <c r="E8" s="203"/>
      <c r="F8" s="245">
        <f t="shared" si="0"/>
        <v>20</v>
      </c>
      <c r="G8" s="46"/>
      <c r="I8" s="520">
        <v>9</v>
      </c>
      <c r="J8" s="521">
        <v>10</v>
      </c>
      <c r="K8" s="521">
        <v>8</v>
      </c>
      <c r="L8" s="46"/>
      <c r="M8" s="197">
        <f t="shared" ref="M8:M16" si="2">IF(SUM(F8:K8)&lt;2.5,2.5,SUM(F8:K8))</f>
        <v>47</v>
      </c>
      <c r="N8" s="195">
        <f t="shared" si="1"/>
        <v>1</v>
      </c>
    </row>
    <row r="9" spans="1:16" ht="20.399999999999999">
      <c r="A9" s="340">
        <v>4</v>
      </c>
      <c r="B9" s="340" t="s">
        <v>170</v>
      </c>
      <c r="D9" s="516">
        <v>12750</v>
      </c>
      <c r="E9" s="204"/>
      <c r="F9" s="245">
        <f t="shared" si="0"/>
        <v>14.634876756507715</v>
      </c>
      <c r="G9" s="46"/>
      <c r="I9" s="520">
        <v>7</v>
      </c>
      <c r="J9" s="521">
        <v>7</v>
      </c>
      <c r="K9" s="521">
        <v>9</v>
      </c>
      <c r="L9" s="46"/>
      <c r="M9" s="197">
        <f t="shared" si="2"/>
        <v>37.634876756507715</v>
      </c>
      <c r="N9" s="195">
        <f t="shared" si="1"/>
        <v>5</v>
      </c>
    </row>
    <row r="10" spans="1:16" s="193" customFormat="1" ht="20.399999999999999">
      <c r="A10" s="340">
        <v>5</v>
      </c>
      <c r="B10" s="340" t="s">
        <v>177</v>
      </c>
      <c r="C10"/>
      <c r="D10" s="516">
        <v>18413</v>
      </c>
      <c r="E10" s="205"/>
      <c r="F10" s="245">
        <f t="shared" si="0"/>
        <v>1.5894955079474755</v>
      </c>
      <c r="G10" s="46"/>
      <c r="H10"/>
      <c r="I10" s="520">
        <v>7</v>
      </c>
      <c r="J10" s="521">
        <v>7</v>
      </c>
      <c r="K10" s="521">
        <v>8</v>
      </c>
      <c r="L10" s="46"/>
      <c r="M10" s="197">
        <f t="shared" si="2"/>
        <v>23.589495507947476</v>
      </c>
      <c r="N10" s="195">
        <f t="shared" si="1"/>
        <v>10</v>
      </c>
    </row>
    <row r="11" spans="1:16" s="193" customFormat="1" ht="20.399999999999999">
      <c r="A11" s="340">
        <v>6</v>
      </c>
      <c r="B11" s="340" t="s">
        <v>210</v>
      </c>
      <c r="C11"/>
      <c r="D11" s="516">
        <v>17133</v>
      </c>
      <c r="E11" s="204"/>
      <c r="F11" s="245">
        <f t="shared" si="0"/>
        <v>4.5381248560239555</v>
      </c>
      <c r="G11" s="46"/>
      <c r="H11"/>
      <c r="I11" s="520">
        <v>8</v>
      </c>
      <c r="J11" s="521">
        <v>8</v>
      </c>
      <c r="K11" s="521">
        <v>7</v>
      </c>
      <c r="L11" s="46"/>
      <c r="M11" s="197">
        <f t="shared" si="2"/>
        <v>27.538124856023956</v>
      </c>
      <c r="N11" s="195">
        <f t="shared" si="1"/>
        <v>8</v>
      </c>
    </row>
    <row r="12" spans="1:16" s="193" customFormat="1" ht="20.399999999999999">
      <c r="A12" s="340">
        <v>7</v>
      </c>
      <c r="B12" s="340" t="s">
        <v>173</v>
      </c>
      <c r="C12"/>
      <c r="D12" s="516">
        <v>13644</v>
      </c>
      <c r="E12" s="204"/>
      <c r="F12" s="245">
        <f t="shared" si="0"/>
        <v>12.575443446210549</v>
      </c>
      <c r="G12" s="46"/>
      <c r="H12"/>
      <c r="I12" s="520">
        <v>10</v>
      </c>
      <c r="J12" s="521">
        <v>8</v>
      </c>
      <c r="K12" s="521">
        <v>9</v>
      </c>
      <c r="L12" s="46"/>
      <c r="M12" s="197">
        <f t="shared" si="2"/>
        <v>39.575443446210549</v>
      </c>
      <c r="N12" s="195">
        <f t="shared" si="1"/>
        <v>3</v>
      </c>
    </row>
    <row r="13" spans="1:16" ht="23.4">
      <c r="A13" s="340">
        <v>8</v>
      </c>
      <c r="B13" s="433" t="s">
        <v>179</v>
      </c>
      <c r="D13" s="516">
        <v>12104</v>
      </c>
      <c r="E13" s="202"/>
      <c r="F13" s="245">
        <f t="shared" si="0"/>
        <v>16.123013130615064</v>
      </c>
      <c r="G13" s="46"/>
      <c r="I13" s="520">
        <v>10</v>
      </c>
      <c r="J13" s="521">
        <v>10</v>
      </c>
      <c r="K13" s="521">
        <v>9</v>
      </c>
      <c r="L13" s="46"/>
      <c r="M13" s="197">
        <f t="shared" si="2"/>
        <v>45.123013130615064</v>
      </c>
      <c r="N13" s="195">
        <f t="shared" si="1"/>
        <v>2</v>
      </c>
      <c r="P13" s="167"/>
    </row>
    <row r="14" spans="1:16" ht="20.399999999999999">
      <c r="A14" s="340">
        <v>9</v>
      </c>
      <c r="B14" s="340" t="s">
        <v>178</v>
      </c>
      <c r="D14" s="516">
        <v>15118</v>
      </c>
      <c r="E14" s="202"/>
      <c r="F14" s="245">
        <f t="shared" si="0"/>
        <v>9.1799124625662287</v>
      </c>
      <c r="G14" s="46"/>
      <c r="I14" s="520">
        <v>4</v>
      </c>
      <c r="J14" s="521">
        <v>4</v>
      </c>
      <c r="K14" s="521">
        <v>3</v>
      </c>
      <c r="L14" s="46"/>
      <c r="M14" s="197">
        <f t="shared" si="2"/>
        <v>20.179912462566229</v>
      </c>
      <c r="N14" s="195">
        <f t="shared" si="1"/>
        <v>11</v>
      </c>
    </row>
    <row r="15" spans="1:16" ht="20.399999999999999">
      <c r="A15" s="340">
        <v>10</v>
      </c>
      <c r="B15" s="340" t="s">
        <v>180</v>
      </c>
      <c r="D15" s="516">
        <v>15321</v>
      </c>
      <c r="E15" s="202"/>
      <c r="F15" s="245">
        <f t="shared" si="0"/>
        <v>8.7122782768947218</v>
      </c>
      <c r="G15" s="46"/>
      <c r="I15" s="520">
        <v>2.5</v>
      </c>
      <c r="J15" s="521">
        <v>2.5</v>
      </c>
      <c r="K15" s="521">
        <v>2.5</v>
      </c>
      <c r="L15" s="46"/>
      <c r="M15" s="197">
        <f t="shared" si="2"/>
        <v>16.212278276894722</v>
      </c>
      <c r="N15" s="195">
        <f t="shared" si="1"/>
        <v>12</v>
      </c>
    </row>
    <row r="16" spans="1:16" ht="20.399999999999999">
      <c r="A16" s="340">
        <v>11</v>
      </c>
      <c r="B16" s="340" t="s">
        <v>176</v>
      </c>
      <c r="D16" s="516">
        <v>19103</v>
      </c>
      <c r="E16" s="206"/>
      <c r="F16" s="245">
        <f t="shared" si="0"/>
        <v>0</v>
      </c>
      <c r="G16" s="46"/>
      <c r="I16" s="520">
        <v>3</v>
      </c>
      <c r="J16" s="521">
        <v>3</v>
      </c>
      <c r="K16" s="521">
        <v>3</v>
      </c>
      <c r="L16" s="46"/>
      <c r="M16" s="197">
        <f t="shared" si="2"/>
        <v>9</v>
      </c>
      <c r="N16" s="195">
        <f t="shared" si="1"/>
        <v>13</v>
      </c>
    </row>
    <row r="17" spans="1:16" ht="20.399999999999999">
      <c r="A17" s="340">
        <v>12</v>
      </c>
      <c r="B17" s="340" t="s">
        <v>174</v>
      </c>
      <c r="D17" s="516">
        <v>12533</v>
      </c>
      <c r="E17" s="207"/>
      <c r="F17" s="245">
        <f t="shared" si="0"/>
        <v>15.134761575673807</v>
      </c>
      <c r="G17" s="46"/>
      <c r="I17" s="520">
        <v>7</v>
      </c>
      <c r="J17" s="521">
        <v>2.5</v>
      </c>
      <c r="K17" s="521">
        <v>2.5</v>
      </c>
      <c r="L17" s="46"/>
      <c r="M17" s="197">
        <f>IF(SUM(F17:K17)&lt;2.5,2.5,SUM(F17:K17))</f>
        <v>27.134761575673807</v>
      </c>
      <c r="N17" s="195">
        <f>RANK(M17,$M$7:$M$19)</f>
        <v>9</v>
      </c>
    </row>
    <row r="18" spans="1:16" s="119" customFormat="1" ht="20.399999999999999">
      <c r="A18" s="340">
        <v>13</v>
      </c>
      <c r="B18" s="340" t="s">
        <v>211</v>
      </c>
      <c r="C18"/>
      <c r="D18" s="516">
        <v>13332</v>
      </c>
      <c r="E18" s="204"/>
      <c r="F18" s="245">
        <f t="shared" si="0"/>
        <v>13.29417184980419</v>
      </c>
      <c r="G18" s="46"/>
      <c r="H18"/>
      <c r="I18" s="520">
        <v>8</v>
      </c>
      <c r="J18" s="521">
        <v>9</v>
      </c>
      <c r="K18" s="521">
        <v>8</v>
      </c>
      <c r="L18" s="46"/>
      <c r="M18" s="197">
        <f>IF(SUM(F18:K18)&lt;2.5,2.5,SUM(F18:K18))</f>
        <v>38.294171849804187</v>
      </c>
      <c r="N18" s="195">
        <f>RANK(M18,$M$7:$M$19)</f>
        <v>4</v>
      </c>
      <c r="P18" s="122"/>
    </row>
    <row r="19" spans="1:16" s="119" customFormat="1" ht="20.399999999999999">
      <c r="A19" s="340">
        <v>14</v>
      </c>
      <c r="B19" s="340" t="s">
        <v>175</v>
      </c>
      <c r="C19"/>
      <c r="D19" s="516">
        <v>11648</v>
      </c>
      <c r="E19" s="204"/>
      <c r="F19" s="245">
        <f>-($C$24*D19)+$C$25</f>
        <v>17.17346233586731</v>
      </c>
      <c r="G19" s="46"/>
      <c r="H19"/>
      <c r="I19" s="520">
        <v>7</v>
      </c>
      <c r="J19" s="521">
        <v>6</v>
      </c>
      <c r="K19" s="521">
        <v>3</v>
      </c>
      <c r="L19" s="46"/>
      <c r="M19" s="197">
        <f>IF(SUM(F19:K19)&lt;2.5,2.5,SUM(F19:K19))</f>
        <v>33.173462335867313</v>
      </c>
      <c r="N19" s="195">
        <f>RANK(M19,$M$7:$M$19)</f>
        <v>7</v>
      </c>
    </row>
    <row r="20" spans="1:16" ht="14.4">
      <c r="B20" s="222"/>
      <c r="C20" s="50"/>
      <c r="D20" s="239"/>
      <c r="E20" s="6"/>
      <c r="N20" s="243"/>
    </row>
    <row r="21" spans="1:16" ht="14.4">
      <c r="B21" s="246" t="s">
        <v>105</v>
      </c>
      <c r="C21" s="50"/>
      <c r="D21" s="155"/>
      <c r="E21" s="6"/>
      <c r="M21" s="238" t="s">
        <v>125</v>
      </c>
    </row>
    <row r="22" spans="1:16">
      <c r="B22" s="111" t="s">
        <v>106</v>
      </c>
      <c r="C22" s="35"/>
      <c r="D22" s="45"/>
      <c r="E22" s="6"/>
    </row>
    <row r="23" spans="1:16">
      <c r="B23" s="111" t="s">
        <v>107</v>
      </c>
      <c r="C23" s="35"/>
      <c r="D23" s="45"/>
      <c r="E23" s="6"/>
    </row>
    <row r="24" spans="1:16">
      <c r="B24" s="111" t="s">
        <v>108</v>
      </c>
      <c r="C24" s="226">
        <f>20/(C27-C26)</f>
        <v>2.3036166781847502E-3</v>
      </c>
      <c r="D24" s="45"/>
      <c r="E24" s="6"/>
    </row>
    <row r="25" spans="1:16">
      <c r="B25" s="111" t="s">
        <v>109</v>
      </c>
      <c r="C25" s="35">
        <f>20+(C24*C26)</f>
        <v>44.00598940336328</v>
      </c>
      <c r="D25" s="45"/>
      <c r="E25" s="6"/>
    </row>
    <row r="26" spans="1:16">
      <c r="B26" s="111" t="s">
        <v>71</v>
      </c>
      <c r="C26" s="224">
        <f>MIN(D7:D19)</f>
        <v>10421</v>
      </c>
      <c r="D26" s="45"/>
      <c r="E26" s="6"/>
    </row>
    <row r="27" spans="1:16">
      <c r="B27" s="42" t="s">
        <v>110</v>
      </c>
      <c r="C27" s="225">
        <f>MAX(D7:D19)</f>
        <v>19103</v>
      </c>
      <c r="D27" s="45"/>
      <c r="E27" s="6"/>
    </row>
    <row r="28" spans="1:16">
      <c r="B28" s="42" t="s">
        <v>111</v>
      </c>
      <c r="C28" s="223">
        <v>20</v>
      </c>
      <c r="D28" s="45"/>
      <c r="E28" s="6"/>
    </row>
    <row r="29" spans="1:16">
      <c r="B29" s="42"/>
      <c r="C29" s="35"/>
      <c r="D29" s="45"/>
      <c r="E29" s="6"/>
    </row>
    <row r="30" spans="1:16">
      <c r="B30" s="244" t="s">
        <v>122</v>
      </c>
      <c r="C30" s="35"/>
      <c r="D30" s="45"/>
      <c r="E30" s="6"/>
      <c r="I30" s="238" t="s">
        <v>121</v>
      </c>
    </row>
    <row r="31" spans="1:16">
      <c r="B31" s="43"/>
      <c r="C31" s="35"/>
      <c r="D31" s="45"/>
    </row>
    <row r="32" spans="1:16">
      <c r="B32" s="1"/>
      <c r="C32" s="23"/>
      <c r="D32" s="1"/>
    </row>
    <row r="33" spans="2:4">
      <c r="B33" s="1"/>
      <c r="C33" s="1"/>
      <c r="D33" s="1"/>
    </row>
    <row r="34" spans="2:4">
      <c r="B34" s="1"/>
      <c r="C34" s="1"/>
      <c r="D34" s="1"/>
    </row>
  </sheetData>
  <phoneticPr fontId="27" type="noConversion"/>
  <printOptions gridLines="1"/>
  <pageMargins left="0.75" right="0.75" top="1" bottom="1" header="0.5" footer="0.5"/>
  <pageSetup scale="60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37"/>
  <sheetViews>
    <sheetView zoomScale="50" zoomScaleNormal="50" workbookViewId="0">
      <selection activeCell="B1" sqref="B1"/>
    </sheetView>
  </sheetViews>
  <sheetFormatPr defaultColWidth="8.88671875" defaultRowHeight="13.2"/>
  <cols>
    <col min="2" max="2" width="53" customWidth="1"/>
    <col min="3" max="17" width="7.6640625" style="277" customWidth="1"/>
    <col min="18" max="18" width="10.6640625" style="3" bestFit="1" customWidth="1"/>
    <col min="19" max="19" width="7.44140625" style="3" customWidth="1"/>
    <col min="20" max="20" width="21.5546875" style="3" customWidth="1"/>
  </cols>
  <sheetData>
    <row r="1" spans="1:23" ht="17.399999999999999">
      <c r="B1" s="411" t="s">
        <v>222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8"/>
      <c r="S1" s="29"/>
      <c r="T1" s="28"/>
    </row>
    <row r="2" spans="1:23" ht="21">
      <c r="B2" s="186" t="s">
        <v>42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5"/>
      <c r="N2" s="274"/>
      <c r="O2" s="276"/>
      <c r="P2" s="274"/>
      <c r="Q2" s="274"/>
      <c r="R2" s="38"/>
      <c r="S2" s="145"/>
      <c r="T2" s="38"/>
      <c r="U2" s="238"/>
    </row>
    <row r="3" spans="1:23" s="3" customFormat="1">
      <c r="B3" s="137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39" t="s">
        <v>67</v>
      </c>
      <c r="S3" s="39" t="s">
        <v>48</v>
      </c>
      <c r="T3" s="40" t="s">
        <v>27</v>
      </c>
      <c r="U3" s="262"/>
      <c r="V3" s="262"/>
      <c r="W3" s="263"/>
    </row>
    <row r="4" spans="1:23" ht="20.399999999999999">
      <c r="A4" s="340">
        <v>2</v>
      </c>
      <c r="B4" s="340" t="s">
        <v>172</v>
      </c>
      <c r="C4" s="347">
        <v>45</v>
      </c>
      <c r="D4" s="348">
        <v>33</v>
      </c>
      <c r="E4" s="348">
        <v>31</v>
      </c>
      <c r="F4" s="348">
        <v>47.5</v>
      </c>
      <c r="G4" s="348">
        <v>35</v>
      </c>
      <c r="H4" s="348">
        <v>35</v>
      </c>
      <c r="I4" s="348"/>
      <c r="J4" s="348"/>
      <c r="K4" s="348">
        <v>39.5</v>
      </c>
      <c r="L4" s="348"/>
      <c r="M4" s="348">
        <v>47.5</v>
      </c>
      <c r="N4" s="348"/>
      <c r="O4" s="348">
        <v>39</v>
      </c>
      <c r="P4" s="348"/>
      <c r="Q4" s="349"/>
      <c r="R4" s="394">
        <f>AVERAGE(C4:Q4)</f>
        <v>39.166666666666664</v>
      </c>
      <c r="S4" s="355">
        <f>IF(R4&lt;2.5,2.5,R4)</f>
        <v>39.166666666666664</v>
      </c>
      <c r="T4" s="351">
        <f t="shared" ref="T4:T16" si="0">RANK(S4,$S$4:$S$16)</f>
        <v>4</v>
      </c>
      <c r="U4" s="264"/>
      <c r="V4" s="264"/>
      <c r="W4" s="265"/>
    </row>
    <row r="5" spans="1:23" ht="20.399999999999999">
      <c r="A5" s="340">
        <v>3</v>
      </c>
      <c r="B5" s="340" t="s">
        <v>171</v>
      </c>
      <c r="C5" s="346">
        <v>37</v>
      </c>
      <c r="D5" s="350">
        <v>35.5</v>
      </c>
      <c r="E5" s="350">
        <v>41</v>
      </c>
      <c r="F5" s="350">
        <v>40</v>
      </c>
      <c r="G5" s="350"/>
      <c r="H5" s="350"/>
      <c r="I5" s="350">
        <v>24</v>
      </c>
      <c r="J5" s="350"/>
      <c r="K5" s="350">
        <v>35.5</v>
      </c>
      <c r="L5" s="350">
        <v>30</v>
      </c>
      <c r="M5" s="350">
        <v>40</v>
      </c>
      <c r="N5" s="350">
        <v>32.5</v>
      </c>
      <c r="O5" s="350"/>
      <c r="P5" s="350"/>
      <c r="Q5" s="349"/>
      <c r="R5" s="394">
        <f t="shared" ref="R5:R16" si="1">AVERAGE(C5:Q5)</f>
        <v>35.055555555555557</v>
      </c>
      <c r="S5" s="355">
        <f t="shared" ref="S5:S16" si="2">IF(R5&lt;2.5,2.5,R5)</f>
        <v>35.055555555555557</v>
      </c>
      <c r="T5" s="351">
        <f t="shared" si="0"/>
        <v>5</v>
      </c>
      <c r="U5" s="264"/>
      <c r="V5" s="264"/>
      <c r="W5" s="265"/>
    </row>
    <row r="6" spans="1:23" ht="20.399999999999999">
      <c r="A6" s="340">
        <v>4</v>
      </c>
      <c r="B6" s="340" t="s">
        <v>170</v>
      </c>
      <c r="C6" s="347"/>
      <c r="D6" s="350">
        <v>32</v>
      </c>
      <c r="E6" s="350">
        <v>20</v>
      </c>
      <c r="F6" s="350">
        <v>34</v>
      </c>
      <c r="G6" s="350">
        <v>40</v>
      </c>
      <c r="H6" s="350"/>
      <c r="I6" s="350"/>
      <c r="J6" s="350"/>
      <c r="K6" s="350">
        <v>40</v>
      </c>
      <c r="L6" s="350"/>
      <c r="M6" s="350">
        <v>29</v>
      </c>
      <c r="N6" s="350">
        <v>39</v>
      </c>
      <c r="O6" s="350">
        <v>33</v>
      </c>
      <c r="P6" s="350">
        <v>33</v>
      </c>
      <c r="Q6" s="349"/>
      <c r="R6" s="394">
        <f t="shared" si="1"/>
        <v>33.333333333333336</v>
      </c>
      <c r="S6" s="355">
        <f t="shared" si="2"/>
        <v>33.333333333333336</v>
      </c>
      <c r="T6" s="351">
        <f t="shared" si="0"/>
        <v>8</v>
      </c>
      <c r="U6" s="264"/>
      <c r="V6" s="264"/>
      <c r="W6" s="265"/>
    </row>
    <row r="7" spans="1:23" s="167" customFormat="1" ht="20.399999999999999">
      <c r="A7" s="340">
        <v>5</v>
      </c>
      <c r="B7" s="340" t="s">
        <v>177</v>
      </c>
      <c r="C7" s="347">
        <v>34</v>
      </c>
      <c r="D7" s="350"/>
      <c r="E7" s="350">
        <v>16</v>
      </c>
      <c r="F7" s="350">
        <v>35</v>
      </c>
      <c r="G7" s="350"/>
      <c r="H7" s="350"/>
      <c r="I7" s="350"/>
      <c r="J7" s="350"/>
      <c r="K7" s="350">
        <v>36.5</v>
      </c>
      <c r="L7" s="350">
        <v>29</v>
      </c>
      <c r="M7" s="350">
        <v>37.5</v>
      </c>
      <c r="N7" s="350"/>
      <c r="O7" s="350"/>
      <c r="P7" s="350"/>
      <c r="Q7" s="349"/>
      <c r="R7" s="394">
        <f t="shared" si="1"/>
        <v>31.333333333333332</v>
      </c>
      <c r="S7" s="355">
        <f t="shared" si="2"/>
        <v>31.333333333333332</v>
      </c>
      <c r="T7" s="351">
        <f t="shared" si="0"/>
        <v>10</v>
      </c>
      <c r="U7" s="264"/>
      <c r="V7" s="264"/>
      <c r="W7" s="265"/>
    </row>
    <row r="8" spans="1:23" ht="20.399999999999999">
      <c r="A8" s="340">
        <v>6</v>
      </c>
      <c r="B8" s="340" t="s">
        <v>210</v>
      </c>
      <c r="C8" s="347">
        <v>42.5</v>
      </c>
      <c r="D8" s="350">
        <v>38.5</v>
      </c>
      <c r="E8" s="350"/>
      <c r="F8" s="350">
        <v>25</v>
      </c>
      <c r="G8" s="350">
        <v>29</v>
      </c>
      <c r="H8" s="350"/>
      <c r="I8" s="350">
        <v>29</v>
      </c>
      <c r="J8" s="350"/>
      <c r="K8" s="350">
        <v>36</v>
      </c>
      <c r="L8" s="350"/>
      <c r="M8" s="350"/>
      <c r="N8" s="350">
        <v>26</v>
      </c>
      <c r="O8" s="350">
        <v>40</v>
      </c>
      <c r="P8" s="350">
        <v>30</v>
      </c>
      <c r="Q8" s="349"/>
      <c r="R8" s="394">
        <f t="shared" si="1"/>
        <v>32.888888888888886</v>
      </c>
      <c r="S8" s="355">
        <f t="shared" si="2"/>
        <v>32.888888888888886</v>
      </c>
      <c r="T8" s="351">
        <f t="shared" si="0"/>
        <v>9</v>
      </c>
      <c r="U8" s="264"/>
      <c r="V8" s="264"/>
      <c r="W8" s="265"/>
    </row>
    <row r="9" spans="1:23" ht="20.399999999999999">
      <c r="A9" s="340">
        <v>7</v>
      </c>
      <c r="B9" s="340" t="s">
        <v>173</v>
      </c>
      <c r="C9" s="347">
        <v>47</v>
      </c>
      <c r="D9" s="350">
        <v>44</v>
      </c>
      <c r="E9" s="350">
        <v>35.5</v>
      </c>
      <c r="F9" s="350">
        <v>45</v>
      </c>
      <c r="G9" s="350">
        <v>43</v>
      </c>
      <c r="H9" s="350"/>
      <c r="I9" s="350">
        <v>37</v>
      </c>
      <c r="J9" s="350"/>
      <c r="K9" s="350"/>
      <c r="L9" s="350">
        <v>38</v>
      </c>
      <c r="M9" s="350"/>
      <c r="N9" s="350"/>
      <c r="O9" s="350">
        <v>45</v>
      </c>
      <c r="P9" s="350"/>
      <c r="Q9" s="349"/>
      <c r="R9" s="394">
        <f t="shared" si="1"/>
        <v>41.8125</v>
      </c>
      <c r="S9" s="355">
        <f t="shared" si="2"/>
        <v>41.8125</v>
      </c>
      <c r="T9" s="351">
        <f t="shared" si="0"/>
        <v>2</v>
      </c>
      <c r="U9" s="264"/>
      <c r="V9" s="264"/>
      <c r="W9" s="265"/>
    </row>
    <row r="10" spans="1:23" ht="23.4">
      <c r="A10" s="340">
        <v>8</v>
      </c>
      <c r="B10" s="433" t="s">
        <v>179</v>
      </c>
      <c r="C10" s="347"/>
      <c r="D10" s="350">
        <v>37</v>
      </c>
      <c r="E10" s="350">
        <v>29</v>
      </c>
      <c r="F10" s="350">
        <v>33</v>
      </c>
      <c r="G10" s="350">
        <v>47</v>
      </c>
      <c r="H10" s="350"/>
      <c r="I10" s="346">
        <v>31</v>
      </c>
      <c r="J10" s="350"/>
      <c r="K10" s="350">
        <v>33.5</v>
      </c>
      <c r="L10" s="350"/>
      <c r="M10" s="350">
        <v>32</v>
      </c>
      <c r="N10" s="350">
        <v>34</v>
      </c>
      <c r="O10" s="350"/>
      <c r="P10" s="350"/>
      <c r="Q10" s="349"/>
      <c r="R10" s="394">
        <f t="shared" si="1"/>
        <v>34.5625</v>
      </c>
      <c r="S10" s="355">
        <f t="shared" si="2"/>
        <v>34.5625</v>
      </c>
      <c r="T10" s="351">
        <f t="shared" si="0"/>
        <v>6</v>
      </c>
      <c r="U10" s="264"/>
      <c r="V10" s="264"/>
      <c r="W10" s="265"/>
    </row>
    <row r="11" spans="1:23" ht="20.399999999999999">
      <c r="A11" s="340">
        <v>9</v>
      </c>
      <c r="B11" s="340" t="s">
        <v>178</v>
      </c>
      <c r="C11" s="347"/>
      <c r="D11" s="350">
        <v>32</v>
      </c>
      <c r="E11" s="350">
        <v>44.5</v>
      </c>
      <c r="F11" s="350">
        <v>42</v>
      </c>
      <c r="G11" s="350">
        <v>40</v>
      </c>
      <c r="H11" s="350">
        <v>44</v>
      </c>
      <c r="I11" s="350"/>
      <c r="J11" s="350"/>
      <c r="K11" s="350">
        <v>39.5</v>
      </c>
      <c r="L11" s="350"/>
      <c r="M11" s="350">
        <v>43</v>
      </c>
      <c r="N11" s="350"/>
      <c r="O11" s="350">
        <v>31.5</v>
      </c>
      <c r="P11" s="350">
        <v>42</v>
      </c>
      <c r="Q11" s="349"/>
      <c r="R11" s="394">
        <f t="shared" si="1"/>
        <v>39.833333333333336</v>
      </c>
      <c r="S11" s="355">
        <v>0</v>
      </c>
      <c r="T11" s="351">
        <f t="shared" si="0"/>
        <v>12</v>
      </c>
      <c r="U11" s="264"/>
      <c r="V11" s="264"/>
      <c r="W11" s="265"/>
    </row>
    <row r="12" spans="1:23" ht="20.399999999999999">
      <c r="A12" s="340">
        <v>10</v>
      </c>
      <c r="B12" s="340" t="s">
        <v>180</v>
      </c>
      <c r="C12" s="347"/>
      <c r="D12" s="350">
        <v>45.5</v>
      </c>
      <c r="E12" s="350">
        <v>35</v>
      </c>
      <c r="F12" s="350">
        <v>40</v>
      </c>
      <c r="G12" s="350">
        <v>40</v>
      </c>
      <c r="H12" s="350">
        <v>44</v>
      </c>
      <c r="I12" s="350"/>
      <c r="J12" s="350">
        <v>35</v>
      </c>
      <c r="K12" s="350">
        <v>44</v>
      </c>
      <c r="L12" s="350"/>
      <c r="M12" s="350"/>
      <c r="N12" s="350"/>
      <c r="O12" s="350"/>
      <c r="P12" s="350">
        <v>37</v>
      </c>
      <c r="Q12" s="349"/>
      <c r="R12" s="394">
        <f t="shared" si="1"/>
        <v>40.0625</v>
      </c>
      <c r="S12" s="355">
        <f t="shared" si="2"/>
        <v>40.0625</v>
      </c>
      <c r="T12" s="351">
        <f t="shared" si="0"/>
        <v>3</v>
      </c>
      <c r="U12" s="264"/>
      <c r="V12" s="264"/>
      <c r="W12" s="265"/>
    </row>
    <row r="13" spans="1:23" ht="20.399999999999999">
      <c r="A13" s="340">
        <v>11</v>
      </c>
      <c r="B13" s="340" t="s">
        <v>176</v>
      </c>
      <c r="C13" s="347">
        <v>47</v>
      </c>
      <c r="D13" s="350">
        <v>38</v>
      </c>
      <c r="E13" s="350">
        <v>48</v>
      </c>
      <c r="F13" s="350">
        <v>42.5</v>
      </c>
      <c r="G13" s="350"/>
      <c r="H13" s="350"/>
      <c r="I13" s="350">
        <v>45</v>
      </c>
      <c r="J13" s="350"/>
      <c r="K13" s="350">
        <v>43</v>
      </c>
      <c r="L13" s="350"/>
      <c r="M13" s="350">
        <v>44</v>
      </c>
      <c r="N13" s="350"/>
      <c r="O13" s="350">
        <v>43.5</v>
      </c>
      <c r="P13" s="350">
        <v>32</v>
      </c>
      <c r="Q13" s="349"/>
      <c r="R13" s="394">
        <f t="shared" si="1"/>
        <v>42.555555555555557</v>
      </c>
      <c r="S13" s="355">
        <f t="shared" si="2"/>
        <v>42.555555555555557</v>
      </c>
      <c r="T13" s="351">
        <f t="shared" si="0"/>
        <v>1</v>
      </c>
      <c r="U13" s="264"/>
      <c r="V13" s="264"/>
      <c r="W13" s="265"/>
    </row>
    <row r="14" spans="1:23" ht="20.399999999999999">
      <c r="A14" s="340">
        <v>12</v>
      </c>
      <c r="B14" s="340" t="s">
        <v>174</v>
      </c>
      <c r="C14" s="347"/>
      <c r="D14" s="350"/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49"/>
      <c r="R14" s="394" t="s">
        <v>183</v>
      </c>
      <c r="S14" s="355">
        <v>0</v>
      </c>
      <c r="T14" s="351"/>
      <c r="U14" s="264"/>
      <c r="V14" s="264"/>
      <c r="W14" s="265"/>
    </row>
    <row r="15" spans="1:23" ht="20.399999999999999">
      <c r="A15" s="340">
        <v>13</v>
      </c>
      <c r="B15" s="340" t="s">
        <v>211</v>
      </c>
      <c r="C15" s="347"/>
      <c r="D15" s="350">
        <v>34.5</v>
      </c>
      <c r="E15" s="350">
        <v>31</v>
      </c>
      <c r="F15" s="350">
        <v>32</v>
      </c>
      <c r="G15" s="350">
        <v>31.5</v>
      </c>
      <c r="H15" s="350"/>
      <c r="I15" s="350">
        <v>37</v>
      </c>
      <c r="J15" s="350"/>
      <c r="K15" s="350">
        <v>42</v>
      </c>
      <c r="L15" s="350">
        <v>30.5</v>
      </c>
      <c r="M15" s="350"/>
      <c r="N15" s="350"/>
      <c r="O15" s="350"/>
      <c r="P15" s="350"/>
      <c r="Q15" s="349"/>
      <c r="R15" s="394">
        <f t="shared" si="1"/>
        <v>34.071428571428569</v>
      </c>
      <c r="S15" s="355">
        <f t="shared" si="2"/>
        <v>34.071428571428569</v>
      </c>
      <c r="T15" s="351">
        <f t="shared" si="0"/>
        <v>7</v>
      </c>
      <c r="U15" s="264"/>
      <c r="V15" s="264"/>
      <c r="W15" s="265"/>
    </row>
    <row r="16" spans="1:23" ht="20.399999999999999">
      <c r="A16" s="340">
        <v>14</v>
      </c>
      <c r="B16" s="340" t="s">
        <v>175</v>
      </c>
      <c r="C16" s="347">
        <v>22</v>
      </c>
      <c r="D16" s="350">
        <v>35</v>
      </c>
      <c r="E16" s="350">
        <v>24</v>
      </c>
      <c r="F16" s="350">
        <v>25</v>
      </c>
      <c r="G16" s="350">
        <v>23</v>
      </c>
      <c r="H16" s="350">
        <v>20</v>
      </c>
      <c r="I16" s="350">
        <v>24</v>
      </c>
      <c r="J16" s="350">
        <v>30.5</v>
      </c>
      <c r="K16" s="350"/>
      <c r="L16" s="350"/>
      <c r="M16" s="350"/>
      <c r="N16" s="350"/>
      <c r="O16" s="350"/>
      <c r="P16" s="350"/>
      <c r="Q16" s="349"/>
      <c r="R16" s="394">
        <f t="shared" si="1"/>
        <v>25.4375</v>
      </c>
      <c r="S16" s="355">
        <f t="shared" si="2"/>
        <v>25.4375</v>
      </c>
      <c r="T16" s="351">
        <f t="shared" si="0"/>
        <v>11</v>
      </c>
    </row>
    <row r="17" spans="3:20"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273"/>
      <c r="N17" s="273"/>
      <c r="O17" s="273"/>
      <c r="P17" s="273"/>
      <c r="Q17" s="273"/>
      <c r="R17" s="37"/>
      <c r="S17" s="37"/>
      <c r="T17" s="37"/>
    </row>
    <row r="18" spans="3:20" ht="12.75" customHeight="1"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238" t="s">
        <v>124</v>
      </c>
    </row>
    <row r="19" spans="3:20" ht="12.75" customHeight="1">
      <c r="C19" s="550"/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</row>
    <row r="20" spans="3:20" ht="12.75" customHeight="1">
      <c r="C20" s="550"/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</row>
    <row r="21" spans="3:20" ht="12.75" customHeight="1"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</row>
    <row r="22" spans="3:20" ht="12.75" customHeight="1">
      <c r="C22" s="550"/>
      <c r="D22" s="550"/>
      <c r="E22" s="550"/>
      <c r="F22" s="550"/>
      <c r="G22" s="550"/>
      <c r="H22" s="550"/>
      <c r="I22" s="550"/>
      <c r="J22" s="550"/>
      <c r="K22" s="550"/>
      <c r="L22" s="550"/>
      <c r="M22" s="550"/>
      <c r="N22" s="550"/>
      <c r="O22" s="550"/>
      <c r="P22" s="550"/>
    </row>
    <row r="29" spans="3:20">
      <c r="C29" s="278"/>
      <c r="D29" s="278"/>
      <c r="E29" s="278"/>
      <c r="F29" s="278"/>
      <c r="G29" s="278"/>
      <c r="H29" s="278"/>
      <c r="I29" s="278"/>
      <c r="J29" s="278"/>
      <c r="K29" s="278"/>
      <c r="L29" s="278"/>
    </row>
    <row r="37" spans="3:12"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14">
    <mergeCell ref="O18:O22"/>
    <mergeCell ref="P18:P22"/>
    <mergeCell ref="I18:I22"/>
    <mergeCell ref="J18:J22"/>
    <mergeCell ref="K18:K22"/>
    <mergeCell ref="L18:L22"/>
    <mergeCell ref="M18:M22"/>
    <mergeCell ref="N18:N22"/>
    <mergeCell ref="H18:H22"/>
    <mergeCell ref="C18:C22"/>
    <mergeCell ref="D18:D22"/>
    <mergeCell ref="E18:E22"/>
    <mergeCell ref="F18:F22"/>
    <mergeCell ref="G18:G22"/>
  </mergeCells>
  <phoneticPr fontId="27" type="noConversion"/>
  <printOptions gridLines="1"/>
  <pageMargins left="0.75" right="0.75" top="1" bottom="1" header="0.5" footer="0.5"/>
  <pageSetup scale="5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4"/>
  <sheetViews>
    <sheetView topLeftCell="B1" zoomScaleNormal="100" workbookViewId="0">
      <selection activeCell="B1" sqref="B1"/>
    </sheetView>
  </sheetViews>
  <sheetFormatPr defaultColWidth="8.88671875" defaultRowHeight="13.2"/>
  <cols>
    <col min="2" max="2" width="59.88671875" customWidth="1"/>
    <col min="3" max="3" width="15.33203125" customWidth="1"/>
    <col min="4" max="4" width="13.88671875" style="46" bestFit="1" customWidth="1"/>
    <col min="5" max="5" width="10.109375" customWidth="1"/>
    <col min="6" max="6" width="12.44140625" customWidth="1"/>
    <col min="7" max="7" width="17" customWidth="1"/>
    <col min="8" max="8" width="10.88671875" style="36" customWidth="1"/>
    <col min="9" max="9" width="35.33203125" style="3" customWidth="1"/>
    <col min="10" max="10" width="41.88671875" customWidth="1"/>
  </cols>
  <sheetData>
    <row r="1" spans="1:17" ht="45">
      <c r="B1" s="389" t="s">
        <v>221</v>
      </c>
      <c r="F1" s="154"/>
      <c r="G1" s="154"/>
    </row>
    <row r="2" spans="1:17" ht="17.399999999999999">
      <c r="B2" s="7"/>
      <c r="C2" s="7"/>
      <c r="D2" s="302"/>
      <c r="E2" s="6" t="s">
        <v>0</v>
      </c>
      <c r="F2" s="109">
        <f>MAX(E10:E22)</f>
        <v>16.890475847270068</v>
      </c>
      <c r="G2" s="6" t="s">
        <v>11</v>
      </c>
      <c r="H2" s="282" t="s">
        <v>184</v>
      </c>
      <c r="J2" s="55"/>
    </row>
    <row r="3" spans="1:17">
      <c r="B3" s="6"/>
      <c r="C3" s="6"/>
      <c r="D3" s="303"/>
      <c r="E3" s="6" t="s">
        <v>1</v>
      </c>
      <c r="F3" s="109">
        <f>MIN(D10:D22)</f>
        <v>5.7251199358974363</v>
      </c>
      <c r="G3" s="6" t="s">
        <v>11</v>
      </c>
      <c r="H3" s="282" t="s">
        <v>185</v>
      </c>
      <c r="J3" s="55"/>
    </row>
    <row r="4" spans="1:17">
      <c r="B4" s="10"/>
      <c r="C4" s="10"/>
      <c r="D4" s="304"/>
      <c r="E4" s="6" t="s">
        <v>13</v>
      </c>
      <c r="F4" s="191">
        <v>96.7</v>
      </c>
      <c r="G4" s="6" t="s">
        <v>12</v>
      </c>
      <c r="H4" s="282" t="s">
        <v>28</v>
      </c>
      <c r="J4" s="55"/>
    </row>
    <row r="5" spans="1:17">
      <c r="B5" s="10"/>
      <c r="C5" s="10"/>
      <c r="D5" s="304"/>
      <c r="E5" s="6" t="s">
        <v>112</v>
      </c>
      <c r="F5" s="191"/>
      <c r="G5" s="6"/>
      <c r="H5" s="282"/>
      <c r="J5" s="55"/>
    </row>
    <row r="6" spans="1:17">
      <c r="B6" s="10"/>
      <c r="C6" s="10"/>
      <c r="D6" s="304"/>
      <c r="E6" s="6" t="s">
        <v>113</v>
      </c>
      <c r="F6" s="191">
        <f>100/(F2-F3)</f>
        <v>8.9562751777705163</v>
      </c>
      <c r="G6" s="6"/>
      <c r="H6" s="282"/>
      <c r="J6" s="55"/>
    </row>
    <row r="7" spans="1:17">
      <c r="B7" s="10"/>
      <c r="C7" s="10"/>
      <c r="D7" s="304"/>
      <c r="E7" s="6" t="s">
        <v>114</v>
      </c>
      <c r="F7" s="191">
        <f>-(F6*F3)</f>
        <v>-51.275749571637341</v>
      </c>
      <c r="G7" s="6"/>
      <c r="H7" s="282"/>
      <c r="J7" s="55"/>
    </row>
    <row r="8" spans="1:17" ht="3" customHeight="1">
      <c r="B8" s="12"/>
      <c r="C8" s="12"/>
      <c r="D8" s="305"/>
      <c r="E8" s="12"/>
      <c r="F8" s="6"/>
      <c r="G8" s="6"/>
      <c r="I8" s="18"/>
      <c r="J8" s="56"/>
      <c r="K8" s="56"/>
    </row>
    <row r="9" spans="1:17" ht="54" customHeight="1">
      <c r="B9" s="11"/>
      <c r="C9" s="441" t="s">
        <v>252</v>
      </c>
      <c r="D9" s="306" t="s">
        <v>47</v>
      </c>
      <c r="E9" s="34" t="s">
        <v>10</v>
      </c>
      <c r="F9" s="31" t="s">
        <v>117</v>
      </c>
      <c r="G9" s="31" t="s">
        <v>27</v>
      </c>
      <c r="H9" s="133" t="s">
        <v>62</v>
      </c>
      <c r="I9" s="2" t="s">
        <v>127</v>
      </c>
      <c r="J9" s="34"/>
      <c r="K9" s="31"/>
      <c r="M9" s="132" t="s">
        <v>42</v>
      </c>
    </row>
    <row r="10" spans="1:17" ht="20.399999999999999">
      <c r="A10" s="340">
        <v>2</v>
      </c>
      <c r="B10" s="340" t="s">
        <v>172</v>
      </c>
      <c r="C10" s="260" t="s">
        <v>155</v>
      </c>
      <c r="D10" s="443"/>
      <c r="E10" s="337"/>
      <c r="F10" s="395">
        <v>0</v>
      </c>
      <c r="G10" s="338">
        <f t="shared" ref="G10:G22" si="0">RANK(F10,$F$10:$F$22)</f>
        <v>7</v>
      </c>
      <c r="H10" s="239"/>
      <c r="I10" s="187"/>
      <c r="J10" s="283"/>
      <c r="K10" s="6"/>
      <c r="M10" s="46" t="s">
        <v>42</v>
      </c>
      <c r="N10" s="57"/>
      <c r="O10" s="57"/>
      <c r="P10" s="57"/>
      <c r="Q10" s="57"/>
    </row>
    <row r="11" spans="1:17" ht="20.399999999999999">
      <c r="A11" s="340">
        <v>3</v>
      </c>
      <c r="B11" s="340" t="s">
        <v>171</v>
      </c>
      <c r="C11" s="260" t="s">
        <v>155</v>
      </c>
      <c r="D11" s="336">
        <v>5.7251199358974363</v>
      </c>
      <c r="E11" s="337">
        <f t="shared" ref="E11:E22" si="1">$F$4/D11</f>
        <v>16.890475847270068</v>
      </c>
      <c r="F11" s="395">
        <f t="shared" ref="F11:F22" si="2">100+($F$6*E11)+$F$7</f>
        <v>200</v>
      </c>
      <c r="G11" s="338">
        <f t="shared" si="0"/>
        <v>1</v>
      </c>
      <c r="H11" s="239">
        <v>96.7</v>
      </c>
      <c r="I11" s="187"/>
      <c r="J11" s="283"/>
      <c r="K11" s="6"/>
      <c r="M11" s="46"/>
      <c r="N11" s="57"/>
      <c r="O11" s="57"/>
      <c r="P11" s="57"/>
      <c r="Q11" s="57"/>
    </row>
    <row r="12" spans="1:17" ht="20.399999999999999">
      <c r="A12" s="340">
        <v>4</v>
      </c>
      <c r="B12" s="340" t="s">
        <v>170</v>
      </c>
      <c r="C12" s="260" t="s">
        <v>155</v>
      </c>
      <c r="D12" s="443"/>
      <c r="E12" s="337"/>
      <c r="F12" s="395">
        <v>0</v>
      </c>
      <c r="G12" s="338">
        <f t="shared" si="0"/>
        <v>7</v>
      </c>
      <c r="H12" s="239"/>
      <c r="I12" s="239"/>
      <c r="J12" s="283"/>
      <c r="K12" s="6"/>
      <c r="M12" s="46"/>
      <c r="N12" s="57"/>
      <c r="O12" s="57"/>
      <c r="P12" s="57"/>
      <c r="Q12" s="57"/>
    </row>
    <row r="13" spans="1:17" s="167" customFormat="1" ht="20.399999999999999">
      <c r="A13" s="340">
        <v>5</v>
      </c>
      <c r="B13" s="340" t="s">
        <v>177</v>
      </c>
      <c r="C13" s="260" t="s">
        <v>155</v>
      </c>
      <c r="D13" s="336">
        <v>6.1888866346153852</v>
      </c>
      <c r="E13" s="337">
        <f t="shared" si="1"/>
        <v>15.624781274735618</v>
      </c>
      <c r="F13" s="395">
        <f t="shared" si="2"/>
        <v>188.66409111737084</v>
      </c>
      <c r="G13" s="338">
        <f t="shared" si="0"/>
        <v>3</v>
      </c>
      <c r="H13" s="239">
        <v>96.7</v>
      </c>
      <c r="I13" s="187"/>
      <c r="J13" s="283"/>
      <c r="K13" s="170"/>
      <c r="M13" s="169"/>
    </row>
    <row r="14" spans="1:17" s="167" customFormat="1" ht="20.399999999999999">
      <c r="A14" s="340">
        <v>6</v>
      </c>
      <c r="B14" s="340" t="s">
        <v>226</v>
      </c>
      <c r="C14" s="260" t="s">
        <v>155</v>
      </c>
      <c r="D14" s="336">
        <v>6.8285648397435912</v>
      </c>
      <c r="E14" s="337">
        <f t="shared" si="1"/>
        <v>14.161101530029702</v>
      </c>
      <c r="F14" s="395">
        <f t="shared" si="2"/>
        <v>175.55497255165577</v>
      </c>
      <c r="G14" s="338">
        <f t="shared" si="0"/>
        <v>4</v>
      </c>
      <c r="H14" s="239">
        <v>96.7</v>
      </c>
      <c r="I14" s="239"/>
      <c r="J14" s="283"/>
      <c r="K14" s="170"/>
      <c r="M14" s="169" t="s">
        <v>42</v>
      </c>
    </row>
    <row r="15" spans="1:17" ht="20.399999999999999">
      <c r="A15" s="340">
        <v>7</v>
      </c>
      <c r="B15" s="340" t="s">
        <v>173</v>
      </c>
      <c r="C15" s="260" t="s">
        <v>155</v>
      </c>
      <c r="D15" s="336">
        <v>5.9969831730769236</v>
      </c>
      <c r="E15" s="337">
        <f t="shared" si="1"/>
        <v>16.124774275527159</v>
      </c>
      <c r="F15" s="395">
        <f t="shared" si="2"/>
        <v>193.14216601941911</v>
      </c>
      <c r="G15" s="338">
        <f t="shared" si="0"/>
        <v>2</v>
      </c>
      <c r="H15" s="239">
        <v>96.7</v>
      </c>
      <c r="I15" s="187"/>
      <c r="J15" s="283"/>
      <c r="K15" s="6"/>
      <c r="M15" s="46"/>
      <c r="N15" s="57"/>
      <c r="O15" s="57"/>
      <c r="P15" s="57"/>
      <c r="Q15" s="57"/>
    </row>
    <row r="16" spans="1:17" ht="18.45" customHeight="1">
      <c r="A16" s="340">
        <v>8</v>
      </c>
      <c r="B16" s="444" t="s">
        <v>179</v>
      </c>
      <c r="C16" s="260" t="s">
        <v>155</v>
      </c>
      <c r="D16" s="443" t="s">
        <v>42</v>
      </c>
      <c r="E16" s="337"/>
      <c r="F16" s="395">
        <v>0</v>
      </c>
      <c r="G16" s="338">
        <f t="shared" si="0"/>
        <v>7</v>
      </c>
      <c r="H16" s="239"/>
      <c r="I16" s="187"/>
      <c r="J16" s="283"/>
      <c r="K16" s="6"/>
      <c r="M16" s="46" t="s">
        <v>42</v>
      </c>
      <c r="N16" s="57"/>
      <c r="O16" s="57"/>
      <c r="P16" s="57"/>
      <c r="Q16" s="57"/>
    </row>
    <row r="17" spans="1:17" ht="20.399999999999999">
      <c r="A17" s="340">
        <v>9</v>
      </c>
      <c r="B17" s="340" t="s">
        <v>178</v>
      </c>
      <c r="C17" s="260" t="s">
        <v>155</v>
      </c>
      <c r="D17" s="336">
        <v>7.2283637179487181</v>
      </c>
      <c r="E17" s="337">
        <f t="shared" si="1"/>
        <v>13.377854763988239</v>
      </c>
      <c r="F17" s="395">
        <f t="shared" si="2"/>
        <v>168.53999898288959</v>
      </c>
      <c r="G17" s="338">
        <f t="shared" si="0"/>
        <v>5</v>
      </c>
      <c r="H17" s="239">
        <v>96.7</v>
      </c>
      <c r="I17" s="187"/>
      <c r="J17" s="283"/>
      <c r="K17" s="6"/>
      <c r="N17" s="57"/>
      <c r="O17" s="57"/>
      <c r="P17" s="57"/>
      <c r="Q17" s="57"/>
    </row>
    <row r="18" spans="1:17" ht="20.399999999999999">
      <c r="A18" s="340">
        <v>10</v>
      </c>
      <c r="B18" s="340" t="s">
        <v>180</v>
      </c>
      <c r="C18" s="260" t="s">
        <v>155</v>
      </c>
      <c r="D18" s="443"/>
      <c r="E18" s="337"/>
      <c r="F18" s="395">
        <v>0</v>
      </c>
      <c r="G18" s="338">
        <f t="shared" si="0"/>
        <v>7</v>
      </c>
      <c r="H18" s="239"/>
      <c r="I18" s="187"/>
      <c r="J18" s="283"/>
      <c r="K18" s="6"/>
      <c r="N18" s="57"/>
      <c r="O18" s="57"/>
      <c r="P18" s="57"/>
      <c r="Q18" s="57"/>
    </row>
    <row r="19" spans="1:17" s="134" customFormat="1" ht="20.399999999999999">
      <c r="A19" s="340">
        <v>11</v>
      </c>
      <c r="B19" s="340" t="s">
        <v>176</v>
      </c>
      <c r="C19" s="260" t="s">
        <v>155</v>
      </c>
      <c r="D19" s="443"/>
      <c r="E19" s="337"/>
      <c r="F19" s="395">
        <v>0</v>
      </c>
      <c r="G19" s="338">
        <f t="shared" si="0"/>
        <v>7</v>
      </c>
      <c r="H19" s="239"/>
      <c r="I19" s="187"/>
      <c r="J19" s="283"/>
      <c r="K19" s="135"/>
    </row>
    <row r="20" spans="1:17" s="134" customFormat="1" ht="20.399999999999999">
      <c r="A20" s="340">
        <v>12</v>
      </c>
      <c r="B20" s="340" t="s">
        <v>174</v>
      </c>
      <c r="C20" s="260" t="s">
        <v>155</v>
      </c>
      <c r="D20" s="443"/>
      <c r="E20" s="337"/>
      <c r="F20" s="395">
        <v>0</v>
      </c>
      <c r="G20" s="338">
        <f t="shared" si="0"/>
        <v>7</v>
      </c>
      <c r="H20" s="239"/>
      <c r="I20" s="187"/>
      <c r="K20" s="135"/>
    </row>
    <row r="21" spans="1:17" s="134" customFormat="1" ht="20.399999999999999">
      <c r="A21" s="340">
        <v>13</v>
      </c>
      <c r="B21" s="340" t="s">
        <v>211</v>
      </c>
      <c r="C21" s="260" t="s">
        <v>155</v>
      </c>
      <c r="D21" s="443"/>
      <c r="E21" s="337"/>
      <c r="F21" s="395">
        <v>0</v>
      </c>
      <c r="G21" s="338">
        <f t="shared" si="0"/>
        <v>7</v>
      </c>
      <c r="H21" s="239"/>
      <c r="I21" s="187"/>
      <c r="J21" s="283"/>
      <c r="K21" s="135"/>
    </row>
    <row r="22" spans="1:17" ht="20.399999999999999">
      <c r="A22" s="340">
        <v>14</v>
      </c>
      <c r="B22" s="340" t="s">
        <v>175</v>
      </c>
      <c r="C22" s="260" t="s">
        <v>155</v>
      </c>
      <c r="D22" s="336">
        <v>10.4</v>
      </c>
      <c r="E22" s="337">
        <f t="shared" si="1"/>
        <v>9.2980769230769234</v>
      </c>
      <c r="F22" s="395">
        <f t="shared" si="2"/>
        <v>132.00038597551736</v>
      </c>
      <c r="G22" s="338">
        <f t="shared" si="0"/>
        <v>6</v>
      </c>
      <c r="H22" s="239">
        <v>96.7</v>
      </c>
      <c r="I22" s="187"/>
      <c r="J22" s="283"/>
    </row>
    <row r="23" spans="1:17">
      <c r="B23" s="6"/>
      <c r="C23" s="6"/>
      <c r="D23" s="210"/>
      <c r="E23" s="239"/>
      <c r="H23" s="3"/>
      <c r="I23" s="18"/>
    </row>
    <row r="24" spans="1:17">
      <c r="C24" s="247"/>
      <c r="D24" s="210"/>
      <c r="E24" s="3"/>
      <c r="F24" s="294"/>
      <c r="H24" s="3"/>
    </row>
  </sheetData>
  <phoneticPr fontId="27" type="noConversion"/>
  <printOptions gridLines="1"/>
  <pageMargins left="0.75" right="0.75" top="1" bottom="1" header="0.5" footer="0.5"/>
  <pageSetup scale="6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53"/>
  <sheetViews>
    <sheetView zoomScaleNormal="100" workbookViewId="0">
      <selection activeCell="B1" sqref="B1"/>
    </sheetView>
  </sheetViews>
  <sheetFormatPr defaultColWidth="8.88671875" defaultRowHeight="13.2"/>
  <cols>
    <col min="2" max="2" width="55.44140625" customWidth="1"/>
    <col min="3" max="3" width="11" style="46" customWidth="1"/>
    <col min="4" max="4" width="18.44140625" style="57" customWidth="1"/>
    <col min="5" max="5" width="15.109375" customWidth="1"/>
    <col min="6" max="6" width="16.88671875" customWidth="1"/>
    <col min="7" max="7" width="16" style="167" customWidth="1"/>
    <col min="8" max="8" width="15.88671875" customWidth="1"/>
    <col min="9" max="9" width="11.44140625" customWidth="1"/>
    <col min="10" max="10" width="12.33203125" customWidth="1"/>
    <col min="11" max="11" width="10.44140625" customWidth="1"/>
    <col min="12" max="12" width="13.6640625" customWidth="1"/>
    <col min="13" max="13" width="13.33203125" customWidth="1"/>
    <col min="14" max="14" width="12.33203125" customWidth="1"/>
    <col min="15" max="15" width="14.33203125" customWidth="1"/>
    <col min="16" max="16" width="12.6640625" customWidth="1"/>
    <col min="17" max="17" width="12.44140625" customWidth="1"/>
    <col min="18" max="18" width="11" customWidth="1"/>
  </cols>
  <sheetData>
    <row r="1" spans="1:17" ht="17.399999999999999">
      <c r="B1" s="389" t="s">
        <v>228</v>
      </c>
      <c r="C1" s="312"/>
      <c r="D1" s="33"/>
      <c r="E1" s="6"/>
      <c r="F1" s="19"/>
      <c r="G1" s="287" t="s">
        <v>115</v>
      </c>
      <c r="H1" s="190"/>
      <c r="I1" s="9"/>
      <c r="J1" s="6"/>
      <c r="K1" s="6"/>
      <c r="L1" s="6"/>
      <c r="M1" s="6"/>
      <c r="N1" s="6"/>
      <c r="O1" s="6"/>
      <c r="P1" s="6"/>
      <c r="Q1" s="6"/>
    </row>
    <row r="2" spans="1:17" s="57" customFormat="1">
      <c r="B2" s="33"/>
      <c r="C2" s="304"/>
      <c r="D2" s="17"/>
      <c r="E2" s="9"/>
      <c r="F2" s="19"/>
      <c r="G2" s="287" t="s">
        <v>102</v>
      </c>
      <c r="H2" s="190"/>
      <c r="I2" s="58"/>
      <c r="J2" s="33"/>
      <c r="K2" s="33"/>
      <c r="L2" s="33"/>
      <c r="M2" s="33"/>
      <c r="N2" s="33"/>
      <c r="O2" s="33"/>
      <c r="P2" s="33"/>
      <c r="Q2" s="33"/>
    </row>
    <row r="3" spans="1:17" ht="26.4">
      <c r="B3" s="296" t="s">
        <v>157</v>
      </c>
      <c r="C3" s="287"/>
      <c r="D3" s="285" t="s">
        <v>136</v>
      </c>
      <c r="E3" s="48"/>
      <c r="F3" s="2" t="s">
        <v>34</v>
      </c>
      <c r="G3" s="2" t="s">
        <v>69</v>
      </c>
      <c r="H3" s="2" t="s">
        <v>70</v>
      </c>
      <c r="I3" s="12"/>
      <c r="J3" s="6"/>
      <c r="K3" s="6"/>
      <c r="L3" s="6"/>
      <c r="M3" s="6"/>
      <c r="N3" s="6"/>
      <c r="O3" s="6"/>
      <c r="P3" s="6"/>
      <c r="Q3" s="6"/>
    </row>
    <row r="4" spans="1:17">
      <c r="B4" s="6"/>
      <c r="C4" s="313" t="s">
        <v>156</v>
      </c>
      <c r="D4" s="2" t="s">
        <v>48</v>
      </c>
      <c r="E4" s="22"/>
      <c r="F4" s="353" t="s">
        <v>72</v>
      </c>
      <c r="G4" s="2" t="s">
        <v>9</v>
      </c>
      <c r="H4" s="288" t="s">
        <v>48</v>
      </c>
      <c r="I4" s="22" t="s">
        <v>27</v>
      </c>
      <c r="J4" s="22"/>
      <c r="K4" s="20"/>
      <c r="L4" s="20"/>
      <c r="M4" s="5"/>
      <c r="N4" s="5"/>
      <c r="O4" s="5"/>
      <c r="P4" s="5"/>
      <c r="Q4" s="2"/>
    </row>
    <row r="5" spans="1:17" ht="20.399999999999999">
      <c r="A5" s="340">
        <v>2</v>
      </c>
      <c r="B5" s="340" t="s">
        <v>172</v>
      </c>
      <c r="C5" s="390">
        <v>75</v>
      </c>
      <c r="D5" s="286">
        <v>7.5</v>
      </c>
      <c r="E5" s="50"/>
      <c r="F5" s="354">
        <v>3</v>
      </c>
      <c r="G5" s="392">
        <f>-($F$20*F5)+$F$21</f>
        <v>0</v>
      </c>
      <c r="H5" s="287">
        <f>+D5+G5</f>
        <v>7.5</v>
      </c>
      <c r="I5" s="51">
        <f>RANK(H5, $H$5:$H$17)</f>
        <v>4</v>
      </c>
      <c r="J5" s="27"/>
      <c r="K5" s="18"/>
      <c r="L5" s="50"/>
      <c r="M5" s="18"/>
      <c r="N5" s="18"/>
      <c r="O5" s="3"/>
    </row>
    <row r="6" spans="1:17" ht="20.399999999999999">
      <c r="A6" s="340">
        <v>3</v>
      </c>
      <c r="B6" s="340" t="s">
        <v>171</v>
      </c>
      <c r="C6" s="391">
        <v>79</v>
      </c>
      <c r="D6" s="286">
        <v>7.5</v>
      </c>
      <c r="E6" s="50"/>
      <c r="F6" s="354">
        <v>3</v>
      </c>
      <c r="G6" s="392">
        <f t="shared" ref="G6:G17" si="0">-($F$20*F6)+$F$21</f>
        <v>0</v>
      </c>
      <c r="H6" s="287">
        <f t="shared" ref="H6:H17" si="1">+D6+G6</f>
        <v>7.5</v>
      </c>
      <c r="I6" s="51">
        <f t="shared" ref="I6:I17" si="2">RANK(H6, $H$5:$H$17)</f>
        <v>4</v>
      </c>
      <c r="J6" s="27"/>
      <c r="K6" s="18"/>
      <c r="L6" s="50"/>
      <c r="M6" s="18"/>
      <c r="N6" s="18"/>
      <c r="O6" s="3"/>
    </row>
    <row r="7" spans="1:17" ht="20.399999999999999">
      <c r="A7" s="340">
        <v>4</v>
      </c>
      <c r="B7" s="340" t="s">
        <v>170</v>
      </c>
      <c r="C7" s="391">
        <v>71</v>
      </c>
      <c r="D7" s="286">
        <f t="shared" ref="D7:D12" si="3">10^(($C$27-C7)/10)*150</f>
        <v>150</v>
      </c>
      <c r="E7" s="50"/>
      <c r="F7" s="442">
        <v>1</v>
      </c>
      <c r="G7" s="392">
        <f t="shared" si="0"/>
        <v>150</v>
      </c>
      <c r="H7" s="287">
        <f t="shared" si="1"/>
        <v>300</v>
      </c>
      <c r="I7" s="51">
        <f t="shared" si="2"/>
        <v>1</v>
      </c>
      <c r="J7" s="27"/>
      <c r="K7" s="18"/>
      <c r="L7" s="50"/>
      <c r="M7" s="18"/>
      <c r="N7" s="18"/>
      <c r="O7" s="3"/>
    </row>
    <row r="8" spans="1:17" s="140" customFormat="1" ht="20.399999999999999">
      <c r="A8" s="340">
        <v>5</v>
      </c>
      <c r="B8" s="340" t="s">
        <v>177</v>
      </c>
      <c r="C8" s="391">
        <v>72</v>
      </c>
      <c r="D8" s="286">
        <f t="shared" si="3"/>
        <v>119.14923520864222</v>
      </c>
      <c r="E8" s="50"/>
      <c r="F8" s="442">
        <v>2</v>
      </c>
      <c r="G8" s="392">
        <f t="shared" si="0"/>
        <v>75</v>
      </c>
      <c r="H8" s="287">
        <f t="shared" si="1"/>
        <v>194.14923520864221</v>
      </c>
      <c r="I8" s="51">
        <f t="shared" si="2"/>
        <v>2</v>
      </c>
      <c r="J8" s="194"/>
      <c r="K8" s="201"/>
      <c r="L8" s="50"/>
      <c r="M8" s="201"/>
      <c r="N8" s="201"/>
      <c r="O8" s="183"/>
    </row>
    <row r="9" spans="1:17" s="140" customFormat="1" ht="20.399999999999999">
      <c r="A9" s="340">
        <v>6</v>
      </c>
      <c r="B9" s="340" t="s">
        <v>210</v>
      </c>
      <c r="C9" s="391">
        <v>75</v>
      </c>
      <c r="D9" s="286">
        <v>7.5</v>
      </c>
      <c r="E9" s="50"/>
      <c r="F9" s="354">
        <v>3</v>
      </c>
      <c r="G9" s="392">
        <f t="shared" si="0"/>
        <v>0</v>
      </c>
      <c r="H9" s="287">
        <f t="shared" si="1"/>
        <v>7.5</v>
      </c>
      <c r="I9" s="51">
        <f t="shared" si="2"/>
        <v>4</v>
      </c>
      <c r="J9" s="194"/>
      <c r="K9" s="201"/>
      <c r="L9" s="50"/>
      <c r="M9" s="201"/>
      <c r="N9" s="201"/>
      <c r="O9" s="183"/>
    </row>
    <row r="10" spans="1:17" ht="20.399999999999999">
      <c r="A10" s="340">
        <v>7</v>
      </c>
      <c r="B10" s="340" t="s">
        <v>173</v>
      </c>
      <c r="C10" s="391">
        <v>75</v>
      </c>
      <c r="D10" s="286">
        <v>7.5</v>
      </c>
      <c r="E10" s="50"/>
      <c r="F10" s="354"/>
      <c r="G10" s="392">
        <v>0</v>
      </c>
      <c r="H10" s="287">
        <f t="shared" si="1"/>
        <v>7.5</v>
      </c>
      <c r="I10" s="51">
        <f t="shared" si="2"/>
        <v>4</v>
      </c>
      <c r="J10" s="27"/>
      <c r="M10" s="18"/>
      <c r="N10" s="18"/>
      <c r="O10" s="3"/>
    </row>
    <row r="11" spans="1:17" ht="23.4">
      <c r="A11" s="340">
        <v>8</v>
      </c>
      <c r="B11" s="433" t="s">
        <v>179</v>
      </c>
      <c r="C11" s="391">
        <v>76</v>
      </c>
      <c r="D11" s="286">
        <v>7.5</v>
      </c>
      <c r="E11" s="50"/>
      <c r="F11" s="354">
        <v>3</v>
      </c>
      <c r="G11" s="392">
        <v>0</v>
      </c>
      <c r="H11" s="287">
        <f t="shared" si="1"/>
        <v>7.5</v>
      </c>
      <c r="I11" s="51">
        <f t="shared" si="2"/>
        <v>4</v>
      </c>
      <c r="J11" s="27"/>
      <c r="M11" s="18"/>
      <c r="N11" s="18"/>
      <c r="O11" s="3"/>
    </row>
    <row r="12" spans="1:17" ht="20.399999999999999">
      <c r="A12" s="340">
        <v>9</v>
      </c>
      <c r="B12" s="340" t="s">
        <v>178</v>
      </c>
      <c r="C12" s="391">
        <v>84</v>
      </c>
      <c r="D12" s="286">
        <f t="shared" si="3"/>
        <v>7.5178085044090812</v>
      </c>
      <c r="E12" s="50"/>
      <c r="F12" s="354">
        <v>3</v>
      </c>
      <c r="G12" s="392">
        <v>0</v>
      </c>
      <c r="H12" s="287">
        <f t="shared" si="1"/>
        <v>7.5178085044090812</v>
      </c>
      <c r="I12" s="51">
        <f t="shared" si="2"/>
        <v>3</v>
      </c>
      <c r="J12" s="27"/>
      <c r="K12" s="18"/>
      <c r="L12" s="50"/>
      <c r="M12" s="18"/>
      <c r="N12" s="18"/>
      <c r="O12" s="3"/>
    </row>
    <row r="13" spans="1:17" ht="20.399999999999999">
      <c r="A13" s="340">
        <v>10</v>
      </c>
      <c r="B13" s="340" t="s">
        <v>180</v>
      </c>
      <c r="C13" s="391">
        <v>81</v>
      </c>
      <c r="D13" s="286">
        <v>7.5</v>
      </c>
      <c r="E13" s="50"/>
      <c r="F13" s="354">
        <v>3</v>
      </c>
      <c r="G13" s="392">
        <f t="shared" si="0"/>
        <v>0</v>
      </c>
      <c r="H13" s="287">
        <f t="shared" si="1"/>
        <v>7.5</v>
      </c>
      <c r="I13" s="51">
        <f t="shared" si="2"/>
        <v>4</v>
      </c>
      <c r="J13" s="27"/>
      <c r="K13" s="18"/>
      <c r="L13" s="50"/>
      <c r="M13" s="18"/>
      <c r="N13" s="18"/>
      <c r="O13" s="3"/>
    </row>
    <row r="14" spans="1:17" ht="20.399999999999999">
      <c r="A14" s="340">
        <v>11</v>
      </c>
      <c r="B14" s="340" t="s">
        <v>176</v>
      </c>
      <c r="C14" s="391">
        <v>85</v>
      </c>
      <c r="D14" s="286">
        <v>7.5</v>
      </c>
      <c r="E14" s="50"/>
      <c r="F14" s="354">
        <v>3</v>
      </c>
      <c r="G14" s="392">
        <v>0</v>
      </c>
      <c r="H14" s="287">
        <f t="shared" si="1"/>
        <v>7.5</v>
      </c>
      <c r="I14" s="51">
        <f t="shared" si="2"/>
        <v>4</v>
      </c>
      <c r="J14" s="27"/>
      <c r="K14" s="18"/>
      <c r="L14" s="50"/>
      <c r="M14" s="18"/>
      <c r="N14" s="18"/>
      <c r="O14" s="3"/>
    </row>
    <row r="15" spans="1:17" ht="20.399999999999999">
      <c r="A15" s="340">
        <v>12</v>
      </c>
      <c r="B15" s="340" t="s">
        <v>174</v>
      </c>
      <c r="C15" s="391" t="s">
        <v>227</v>
      </c>
      <c r="D15" s="286">
        <v>0</v>
      </c>
      <c r="E15" s="50"/>
      <c r="F15" s="354">
        <v>3</v>
      </c>
      <c r="G15" s="392">
        <f t="shared" si="0"/>
        <v>0</v>
      </c>
      <c r="H15" s="287">
        <f t="shared" si="1"/>
        <v>0</v>
      </c>
      <c r="I15" s="51">
        <f t="shared" si="2"/>
        <v>13</v>
      </c>
      <c r="J15" s="27"/>
      <c r="K15" s="18"/>
      <c r="L15" s="50"/>
      <c r="M15" s="18"/>
      <c r="N15" s="18"/>
      <c r="O15" s="3"/>
    </row>
    <row r="16" spans="1:17" s="119" customFormat="1" ht="20.399999999999999">
      <c r="A16" s="340">
        <v>13</v>
      </c>
      <c r="B16" s="340" t="s">
        <v>211</v>
      </c>
      <c r="C16" s="391">
        <v>75</v>
      </c>
      <c r="D16" s="286">
        <v>7.5</v>
      </c>
      <c r="E16" s="50"/>
      <c r="F16" s="354">
        <v>3</v>
      </c>
      <c r="G16" s="392">
        <v>0</v>
      </c>
      <c r="H16" s="287">
        <f t="shared" si="1"/>
        <v>7.5</v>
      </c>
      <c r="I16" s="51">
        <f t="shared" si="2"/>
        <v>4</v>
      </c>
      <c r="J16" s="124"/>
      <c r="K16" s="120"/>
      <c r="L16" s="125"/>
      <c r="M16" s="120"/>
      <c r="N16" s="120"/>
      <c r="O16" s="118"/>
    </row>
    <row r="17" spans="1:13" s="119" customFormat="1" ht="20.399999999999999">
      <c r="A17" s="340">
        <v>14</v>
      </c>
      <c r="B17" s="340" t="s">
        <v>175</v>
      </c>
      <c r="C17" s="391">
        <v>80</v>
      </c>
      <c r="D17" s="286">
        <v>7.5</v>
      </c>
      <c r="E17" s="50"/>
      <c r="F17" s="354">
        <v>3</v>
      </c>
      <c r="G17" s="392">
        <f t="shared" si="0"/>
        <v>0</v>
      </c>
      <c r="H17" s="287">
        <f t="shared" si="1"/>
        <v>7.5</v>
      </c>
      <c r="I17" s="51">
        <f t="shared" si="2"/>
        <v>4</v>
      </c>
      <c r="J17" s="114"/>
    </row>
    <row r="18" spans="1:13">
      <c r="C18" s="314"/>
      <c r="D18" s="61"/>
      <c r="E18" s="61" t="s">
        <v>129</v>
      </c>
      <c r="F18" s="146">
        <f>MIN(F5:F17)</f>
        <v>1</v>
      </c>
      <c r="G18" s="230"/>
      <c r="H18" s="47"/>
      <c r="I18" s="47"/>
      <c r="J18" s="4"/>
      <c r="K18" s="60"/>
      <c r="L18" s="62"/>
      <c r="M18" s="1"/>
    </row>
    <row r="19" spans="1:13">
      <c r="B19" s="143" t="s">
        <v>146</v>
      </c>
      <c r="C19" s="315">
        <f>MIN(C5:C17)</f>
        <v>71</v>
      </c>
      <c r="D19" s="64"/>
      <c r="E19" s="64" t="s">
        <v>131</v>
      </c>
      <c r="F19" s="146">
        <f>MAX(F5:F17)</f>
        <v>3</v>
      </c>
      <c r="G19" s="227"/>
      <c r="H19" s="64"/>
      <c r="I19" s="65"/>
      <c r="J19" s="4"/>
      <c r="K19" s="1"/>
      <c r="L19" s="1"/>
      <c r="M19" s="1"/>
    </row>
    <row r="20" spans="1:13">
      <c r="B20" s="143" t="s">
        <v>147</v>
      </c>
      <c r="C20" s="316">
        <v>74</v>
      </c>
      <c r="D20" s="64"/>
      <c r="E20" s="64" t="s">
        <v>128</v>
      </c>
      <c r="F20" s="64">
        <f>150/(F19-F18)</f>
        <v>75</v>
      </c>
      <c r="G20" s="227"/>
      <c r="H20" s="64"/>
      <c r="I20" s="65"/>
      <c r="J20" s="4"/>
      <c r="K20" s="1"/>
      <c r="L20" s="1"/>
      <c r="M20" s="1"/>
    </row>
    <row r="21" spans="1:13">
      <c r="B21" s="221"/>
      <c r="C21" s="315"/>
      <c r="D21" s="64"/>
      <c r="E21" s="64" t="s">
        <v>130</v>
      </c>
      <c r="F21" s="64">
        <f>F20*F19</f>
        <v>225</v>
      </c>
      <c r="G21" s="227"/>
      <c r="H21" s="64"/>
      <c r="I21" s="65"/>
      <c r="J21" s="4"/>
      <c r="K21" s="1"/>
      <c r="L21" s="1"/>
      <c r="M21" s="1"/>
    </row>
    <row r="22" spans="1:13">
      <c r="B22" s="252"/>
      <c r="C22" s="315"/>
      <c r="D22" s="64"/>
      <c r="E22" s="64"/>
      <c r="F22" s="64"/>
      <c r="G22" s="227"/>
      <c r="H22" s="64"/>
      <c r="I22" s="65"/>
      <c r="J22" s="4"/>
      <c r="K22" s="1"/>
      <c r="L22" s="1"/>
      <c r="M22" s="1"/>
    </row>
    <row r="23" spans="1:13">
      <c r="B23" s="232"/>
      <c r="C23" s="315"/>
      <c r="D23" s="64"/>
      <c r="E23" s="64"/>
      <c r="F23" s="64"/>
      <c r="G23" s="227"/>
      <c r="H23" s="64"/>
      <c r="I23" s="65"/>
      <c r="J23" s="4"/>
      <c r="K23" s="1"/>
      <c r="L23" s="1"/>
      <c r="M23" s="1"/>
    </row>
    <row r="24" spans="1:13">
      <c r="B24" s="232"/>
      <c r="C24" s="315"/>
      <c r="D24" s="64"/>
      <c r="E24" s="64"/>
      <c r="G24" s="227"/>
      <c r="H24" s="64"/>
      <c r="I24" s="65"/>
      <c r="J24" s="4"/>
      <c r="K24" s="1"/>
      <c r="L24" s="1"/>
      <c r="M24" s="1"/>
    </row>
    <row r="25" spans="1:13">
      <c r="B25" s="232"/>
      <c r="C25" s="254" t="s">
        <v>137</v>
      </c>
      <c r="D25" s="64"/>
      <c r="E25" s="64"/>
      <c r="G25" s="227"/>
      <c r="H25" s="64"/>
      <c r="I25" s="65"/>
      <c r="J25" s="4"/>
      <c r="K25" s="1"/>
      <c r="L25" s="1"/>
      <c r="M25" s="1"/>
    </row>
    <row r="26" spans="1:13">
      <c r="B26" s="63"/>
      <c r="C26" s="317" t="s">
        <v>100</v>
      </c>
      <c r="D26" s="248" t="s">
        <v>48</v>
      </c>
      <c r="E26" s="64"/>
      <c r="F26" s="64"/>
      <c r="G26" s="227"/>
      <c r="H26" s="64"/>
      <c r="I26" s="65"/>
      <c r="J26" s="4"/>
      <c r="K26" s="1"/>
      <c r="L26" s="1"/>
      <c r="M26" s="1"/>
    </row>
    <row r="27" spans="1:13">
      <c r="B27" s="249" t="s">
        <v>132</v>
      </c>
      <c r="C27" s="318">
        <f>C19</f>
        <v>71</v>
      </c>
      <c r="D27" s="173">
        <f>10^(($C$27-C27)/10)*150</f>
        <v>150</v>
      </c>
      <c r="E27" s="254" t="s">
        <v>138</v>
      </c>
      <c r="F27" s="64"/>
      <c r="G27" s="227"/>
      <c r="H27" s="64"/>
      <c r="I27" s="65"/>
      <c r="J27" s="4"/>
      <c r="K27" s="1"/>
      <c r="L27" s="1"/>
      <c r="M27" s="1"/>
    </row>
    <row r="28" spans="1:13">
      <c r="B28" s="63"/>
      <c r="C28" s="318">
        <f>C27+0.5</f>
        <v>71.5</v>
      </c>
      <c r="D28" s="173">
        <f t="shared" ref="D28:D43" si="4">10^(($C$27-C28)/10)*150</f>
        <v>133.68764072006181</v>
      </c>
      <c r="E28" s="64"/>
      <c r="F28" s="64"/>
      <c r="G28" s="227"/>
      <c r="H28" s="64"/>
      <c r="I28" s="65"/>
      <c r="J28" s="4"/>
      <c r="K28" s="1"/>
      <c r="L28" s="1"/>
      <c r="M28" s="1"/>
    </row>
    <row r="29" spans="1:13">
      <c r="B29" s="63"/>
      <c r="C29" s="318">
        <f t="shared" ref="C29:C43" si="5">C28+0.5</f>
        <v>72</v>
      </c>
      <c r="D29" s="173">
        <f t="shared" si="4"/>
        <v>119.14923520864222</v>
      </c>
      <c r="E29" s="64"/>
      <c r="F29" s="64"/>
      <c r="G29" s="227"/>
      <c r="H29" s="64"/>
      <c r="I29" s="65"/>
      <c r="J29" s="4"/>
      <c r="K29" s="1"/>
      <c r="L29" s="1"/>
      <c r="M29" s="1"/>
    </row>
    <row r="30" spans="1:13">
      <c r="B30" s="63"/>
      <c r="C30" s="318">
        <f t="shared" si="5"/>
        <v>72.5</v>
      </c>
      <c r="D30" s="173">
        <f t="shared" si="4"/>
        <v>106.19186765762069</v>
      </c>
      <c r="E30" s="64"/>
      <c r="F30" s="64"/>
      <c r="G30" s="227"/>
      <c r="H30" s="64"/>
      <c r="I30" s="65"/>
      <c r="J30" s="4"/>
      <c r="K30" s="1"/>
      <c r="L30" s="1"/>
      <c r="M30" s="1"/>
    </row>
    <row r="31" spans="1:13">
      <c r="B31" s="63"/>
      <c r="C31" s="318">
        <f t="shared" si="5"/>
        <v>73</v>
      </c>
      <c r="D31" s="173">
        <f t="shared" si="4"/>
        <v>94.643601672028993</v>
      </c>
      <c r="E31" s="64"/>
      <c r="F31" s="64"/>
      <c r="G31" s="227"/>
      <c r="H31" s="64"/>
      <c r="I31" s="65"/>
      <c r="J31" s="4"/>
      <c r="K31" s="1"/>
      <c r="L31" s="1"/>
      <c r="M31" s="1"/>
    </row>
    <row r="32" spans="1:13">
      <c r="B32" s="63"/>
      <c r="C32" s="318">
        <f t="shared" si="5"/>
        <v>73.5</v>
      </c>
      <c r="D32" s="173">
        <f t="shared" si="4"/>
        <v>84.351198778552359</v>
      </c>
      <c r="E32" s="64"/>
      <c r="F32" s="64"/>
      <c r="G32" s="227"/>
      <c r="H32" s="64"/>
      <c r="I32" s="65"/>
      <c r="J32" s="4"/>
      <c r="K32" s="1"/>
      <c r="L32" s="1"/>
      <c r="M32" s="1"/>
    </row>
    <row r="33" spans="2:13">
      <c r="B33" s="524" t="s">
        <v>262</v>
      </c>
      <c r="C33" s="248">
        <f t="shared" si="5"/>
        <v>74</v>
      </c>
      <c r="D33" s="525">
        <f t="shared" si="4"/>
        <v>75.178085044090835</v>
      </c>
      <c r="E33" s="142"/>
      <c r="F33" s="64"/>
      <c r="G33" s="231"/>
      <c r="H33" s="143"/>
      <c r="I33" s="65"/>
      <c r="J33" s="4"/>
      <c r="K33" s="1"/>
      <c r="L33" s="1"/>
      <c r="M33" s="1"/>
    </row>
    <row r="34" spans="2:13">
      <c r="B34" s="63"/>
      <c r="C34" s="318">
        <f t="shared" si="5"/>
        <v>74.5</v>
      </c>
      <c r="D34" s="173">
        <f t="shared" si="4"/>
        <v>67.002538822644468</v>
      </c>
      <c r="E34" s="64"/>
      <c r="F34" s="64"/>
      <c r="G34" s="227"/>
      <c r="H34" s="64"/>
      <c r="I34" s="65"/>
      <c r="J34" s="4"/>
      <c r="K34" s="1"/>
      <c r="L34" s="1"/>
      <c r="M34" s="1"/>
    </row>
    <row r="35" spans="2:13">
      <c r="B35" s="1"/>
      <c r="C35" s="318">
        <f t="shared" si="5"/>
        <v>75</v>
      </c>
      <c r="D35" s="173">
        <f t="shared" si="4"/>
        <v>59.716075583024583</v>
      </c>
      <c r="E35" s="1"/>
      <c r="F35" s="1"/>
      <c r="G35" s="228"/>
      <c r="H35" s="1"/>
      <c r="I35" s="1"/>
      <c r="J35" s="4"/>
      <c r="K35" s="1"/>
      <c r="L35" s="1"/>
      <c r="M35" s="1"/>
    </row>
    <row r="36" spans="2:13">
      <c r="B36" s="1"/>
      <c r="C36" s="318">
        <f t="shared" si="5"/>
        <v>75.5</v>
      </c>
      <c r="D36" s="173">
        <f t="shared" si="4"/>
        <v>53.222008385036311</v>
      </c>
      <c r="E36" s="4"/>
      <c r="F36" s="4"/>
      <c r="G36" s="229"/>
      <c r="H36" s="4"/>
      <c r="I36" s="4"/>
      <c r="J36" s="4"/>
      <c r="K36" s="1"/>
      <c r="L36" s="1"/>
      <c r="M36" s="1"/>
    </row>
    <row r="37" spans="2:13">
      <c r="C37" s="318">
        <f t="shared" si="5"/>
        <v>76</v>
      </c>
      <c r="D37" s="173">
        <f t="shared" si="4"/>
        <v>47.434164902525694</v>
      </c>
      <c r="E37" s="4"/>
      <c r="F37" s="4"/>
      <c r="G37" s="229"/>
      <c r="H37" s="4"/>
      <c r="I37" s="4"/>
      <c r="J37" s="4"/>
    </row>
    <row r="38" spans="2:13">
      <c r="C38" s="318">
        <f t="shared" si="5"/>
        <v>76.5</v>
      </c>
      <c r="D38" s="173">
        <f t="shared" si="4"/>
        <v>42.2757439689668</v>
      </c>
      <c r="E38" s="4"/>
      <c r="F38" s="4"/>
      <c r="G38" s="229"/>
      <c r="H38" s="4"/>
      <c r="I38" s="4"/>
      <c r="J38" s="4"/>
    </row>
    <row r="39" spans="2:13">
      <c r="C39" s="318">
        <f t="shared" si="5"/>
        <v>77</v>
      </c>
      <c r="D39" s="173">
        <f t="shared" si="4"/>
        <v>37.678296472643702</v>
      </c>
      <c r="E39" s="4"/>
      <c r="F39" s="4"/>
      <c r="G39" s="229"/>
      <c r="H39" s="4"/>
      <c r="I39" s="4"/>
      <c r="J39" s="4"/>
    </row>
    <row r="40" spans="2:13">
      <c r="C40" s="318">
        <f t="shared" si="5"/>
        <v>77.5</v>
      </c>
      <c r="D40" s="173">
        <f t="shared" si="4"/>
        <v>33.580817078525087</v>
      </c>
      <c r="E40" s="4"/>
      <c r="F40" s="4"/>
      <c r="G40" s="229"/>
      <c r="H40" s="4"/>
      <c r="I40" s="4"/>
      <c r="J40" s="4"/>
    </row>
    <row r="41" spans="2:13">
      <c r="C41" s="318">
        <f t="shared" si="5"/>
        <v>78</v>
      </c>
      <c r="D41" s="173">
        <f t="shared" si="4"/>
        <v>29.928934724533192</v>
      </c>
      <c r="E41" s="4"/>
      <c r="F41" s="4"/>
      <c r="G41" s="229"/>
      <c r="H41" s="4"/>
      <c r="I41" s="4"/>
      <c r="J41" s="4"/>
    </row>
    <row r="42" spans="2:13">
      <c r="C42" s="318">
        <f t="shared" si="5"/>
        <v>78.5</v>
      </c>
      <c r="D42" s="173">
        <f t="shared" si="4"/>
        <v>26.674191150583834</v>
      </c>
      <c r="E42" s="4"/>
      <c r="F42" s="4"/>
      <c r="G42" s="229"/>
      <c r="H42" s="4"/>
      <c r="I42" s="4"/>
      <c r="J42" s="4"/>
    </row>
    <row r="43" spans="2:13">
      <c r="B43" s="240" t="s">
        <v>133</v>
      </c>
      <c r="C43" s="318">
        <f t="shared" si="5"/>
        <v>79</v>
      </c>
      <c r="D43" s="173">
        <f t="shared" si="4"/>
        <v>23.773397886916698</v>
      </c>
      <c r="E43" s="253" t="s">
        <v>139</v>
      </c>
      <c r="F43" s="4"/>
      <c r="G43" s="229"/>
      <c r="H43" s="4"/>
      <c r="I43" s="4"/>
      <c r="J43" s="4"/>
    </row>
    <row r="44" spans="2:13">
      <c r="C44" s="318"/>
      <c r="D44" s="241"/>
      <c r="E44" s="4"/>
      <c r="F44" s="4"/>
      <c r="G44" s="229"/>
      <c r="H44" s="4"/>
      <c r="I44" s="4"/>
      <c r="J44" s="4"/>
    </row>
    <row r="45" spans="2:13">
      <c r="C45" s="318"/>
      <c r="D45" s="241"/>
      <c r="E45" s="4"/>
      <c r="F45" s="4"/>
      <c r="G45" s="229"/>
      <c r="H45" s="4"/>
      <c r="I45" s="4"/>
      <c r="J45" s="4"/>
    </row>
    <row r="46" spans="2:13">
      <c r="C46" s="315"/>
      <c r="D46" s="159"/>
      <c r="E46" s="4"/>
      <c r="F46" s="4"/>
      <c r="G46" s="229"/>
      <c r="H46" s="4"/>
      <c r="I46" s="4"/>
      <c r="J46" s="4"/>
    </row>
    <row r="47" spans="2:13">
      <c r="C47" s="315"/>
      <c r="D47" s="159"/>
      <c r="E47" s="4"/>
      <c r="F47" s="4"/>
      <c r="G47" s="229"/>
      <c r="H47" s="4"/>
      <c r="I47" s="4"/>
      <c r="J47" s="4"/>
    </row>
    <row r="48" spans="2:13">
      <c r="C48" s="315"/>
      <c r="D48" s="159"/>
      <c r="E48" s="4"/>
      <c r="F48" s="4"/>
      <c r="G48" s="229"/>
      <c r="H48" s="4"/>
      <c r="I48" s="4"/>
      <c r="J48" s="4"/>
    </row>
    <row r="49" spans="3:10">
      <c r="C49" s="315"/>
      <c r="D49" s="159"/>
      <c r="E49" s="4"/>
      <c r="F49" s="4"/>
      <c r="G49" s="229"/>
      <c r="H49" s="4"/>
      <c r="I49" s="4"/>
      <c r="J49" s="4"/>
    </row>
    <row r="50" spans="3:10">
      <c r="C50" s="315"/>
      <c r="D50" s="159"/>
      <c r="E50" s="4"/>
      <c r="F50" s="4"/>
      <c r="G50" s="229"/>
      <c r="H50" s="4"/>
      <c r="I50" s="4"/>
      <c r="J50" s="4"/>
    </row>
    <row r="51" spans="3:10">
      <c r="C51" s="315"/>
      <c r="D51" s="159"/>
      <c r="E51" s="4"/>
      <c r="F51" s="4"/>
      <c r="G51" s="229"/>
      <c r="H51" s="4"/>
      <c r="I51" s="4"/>
      <c r="J51" s="4"/>
    </row>
    <row r="52" spans="3:10">
      <c r="C52" s="315"/>
    </row>
    <row r="53" spans="3:10">
      <c r="C53" s="315"/>
    </row>
  </sheetData>
  <phoneticPr fontId="27" type="noConversion"/>
  <printOptions gridLines="1"/>
  <pageMargins left="0.75" right="0.75" top="0.5" bottom="0.5" header="0.5" footer="0.5"/>
  <pageSetup scale="72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E28"/>
  <sheetViews>
    <sheetView zoomScaleNormal="100" workbookViewId="0">
      <pane xSplit="2" ySplit="3" topLeftCell="AT4" activePane="bottomRight" state="frozen"/>
      <selection pane="topRight" activeCell="B1" sqref="B1"/>
      <selection pane="bottomLeft" activeCell="A4" sqref="A4"/>
      <selection pane="bottomRight" activeCell="B1" sqref="B1"/>
    </sheetView>
  </sheetViews>
  <sheetFormatPr defaultColWidth="8.88671875" defaultRowHeight="13.2"/>
  <cols>
    <col min="2" max="2" width="61" customWidth="1"/>
    <col min="3" max="3" width="5.6640625" style="3" customWidth="1"/>
    <col min="4" max="19" width="5.6640625" customWidth="1"/>
    <col min="20" max="20" width="6.109375" customWidth="1"/>
    <col min="21" max="54" width="5.6640625" customWidth="1"/>
  </cols>
  <sheetData>
    <row r="1" spans="1:57" ht="17.399999999999999">
      <c r="B1" s="437" t="s">
        <v>220</v>
      </c>
      <c r="C1" s="37"/>
      <c r="D1" s="28"/>
      <c r="E1" s="28"/>
      <c r="F1" s="28"/>
      <c r="G1" s="179"/>
      <c r="H1" s="28"/>
      <c r="I1" s="28"/>
      <c r="J1" s="28"/>
      <c r="K1" s="28"/>
      <c r="L1" s="28"/>
      <c r="M1" s="28"/>
      <c r="N1" s="28"/>
      <c r="O1" s="239" t="s">
        <v>134</v>
      </c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167"/>
      <c r="BD1" s="167"/>
    </row>
    <row r="2" spans="1:57"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295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67"/>
      <c r="BD2" s="167"/>
    </row>
    <row r="3" spans="1:57" s="57" customFormat="1">
      <c r="B3" s="138"/>
      <c r="C3" s="255">
        <v>1</v>
      </c>
      <c r="D3" s="255">
        <v>2</v>
      </c>
      <c r="E3" s="255">
        <v>3</v>
      </c>
      <c r="F3" s="255">
        <v>4</v>
      </c>
      <c r="G3" s="255">
        <v>5</v>
      </c>
      <c r="H3" s="255">
        <v>6</v>
      </c>
      <c r="I3" s="255">
        <v>7</v>
      </c>
      <c r="J3" s="255">
        <v>8</v>
      </c>
      <c r="K3" s="255">
        <v>9</v>
      </c>
      <c r="L3" s="255">
        <v>10</v>
      </c>
      <c r="M3" s="255">
        <v>11</v>
      </c>
      <c r="N3" s="255">
        <v>12</v>
      </c>
      <c r="O3" s="255">
        <v>13</v>
      </c>
      <c r="P3" s="255">
        <v>14</v>
      </c>
      <c r="Q3" s="255">
        <v>15</v>
      </c>
      <c r="R3" s="255">
        <v>16</v>
      </c>
      <c r="S3" s="255">
        <v>17</v>
      </c>
      <c r="T3" s="255">
        <v>18</v>
      </c>
      <c r="U3" s="255">
        <v>19</v>
      </c>
      <c r="V3" s="255">
        <v>20</v>
      </c>
      <c r="W3" s="255">
        <v>21</v>
      </c>
      <c r="X3" s="255">
        <v>22</v>
      </c>
      <c r="Y3" s="255">
        <v>23</v>
      </c>
      <c r="Z3" s="255">
        <v>24</v>
      </c>
      <c r="AA3" s="255">
        <v>25</v>
      </c>
      <c r="AB3" s="255">
        <v>26</v>
      </c>
      <c r="AC3" s="255">
        <v>27</v>
      </c>
      <c r="AD3" s="255">
        <v>28</v>
      </c>
      <c r="AE3" s="255">
        <v>29</v>
      </c>
      <c r="AF3" s="255">
        <v>30</v>
      </c>
      <c r="AG3" s="255">
        <v>31</v>
      </c>
      <c r="AH3" s="255">
        <v>32</v>
      </c>
      <c r="AI3" s="255">
        <v>33</v>
      </c>
      <c r="AJ3" s="255">
        <v>34</v>
      </c>
      <c r="AK3" s="255">
        <v>35</v>
      </c>
      <c r="AL3" s="255">
        <v>36</v>
      </c>
      <c r="AM3" s="255">
        <v>37</v>
      </c>
      <c r="AN3" s="255">
        <v>38</v>
      </c>
      <c r="AO3" s="255">
        <v>39</v>
      </c>
      <c r="AP3" s="255">
        <v>40</v>
      </c>
      <c r="AQ3" s="255">
        <v>41</v>
      </c>
      <c r="AR3" s="255">
        <v>42</v>
      </c>
      <c r="AS3" s="255">
        <v>43</v>
      </c>
      <c r="AT3" s="255">
        <v>44</v>
      </c>
      <c r="AU3" s="255">
        <v>45</v>
      </c>
      <c r="AV3" s="255">
        <v>46</v>
      </c>
      <c r="AW3" s="255">
        <v>47</v>
      </c>
      <c r="AX3" s="255">
        <v>48</v>
      </c>
      <c r="AY3" s="255">
        <v>49</v>
      </c>
      <c r="AZ3" s="255">
        <v>50</v>
      </c>
      <c r="BA3" s="255">
        <v>51</v>
      </c>
      <c r="BB3" s="255">
        <v>52</v>
      </c>
      <c r="BC3" s="153" t="s">
        <v>67</v>
      </c>
      <c r="BD3" s="153" t="s">
        <v>48</v>
      </c>
      <c r="BE3" s="139" t="s">
        <v>27</v>
      </c>
    </row>
    <row r="4" spans="1:57" s="57" customFormat="1" ht="20.399999999999999">
      <c r="A4" s="340">
        <v>2</v>
      </c>
      <c r="B4" s="340" t="s">
        <v>172</v>
      </c>
      <c r="C4" s="284">
        <v>86</v>
      </c>
      <c r="D4" s="311"/>
      <c r="E4" s="311"/>
      <c r="F4" s="311"/>
      <c r="G4" s="311">
        <v>90</v>
      </c>
      <c r="H4" s="311">
        <v>70</v>
      </c>
      <c r="I4" s="311">
        <v>57.5</v>
      </c>
      <c r="J4" s="311">
        <v>72.5</v>
      </c>
      <c r="K4" s="311">
        <v>59</v>
      </c>
      <c r="L4" s="311">
        <v>60</v>
      </c>
      <c r="M4" s="311">
        <v>90</v>
      </c>
      <c r="N4" s="311"/>
      <c r="O4" s="311">
        <v>98.5</v>
      </c>
      <c r="P4" s="311">
        <v>70.5</v>
      </c>
      <c r="Q4" s="311">
        <v>72.5</v>
      </c>
      <c r="R4" s="311">
        <v>75</v>
      </c>
      <c r="S4" s="311">
        <v>85</v>
      </c>
      <c r="T4" s="311"/>
      <c r="U4" s="311">
        <v>77</v>
      </c>
      <c r="V4" s="311">
        <v>72.5</v>
      </c>
      <c r="W4" s="311">
        <v>75.5</v>
      </c>
      <c r="X4" s="311">
        <v>79</v>
      </c>
      <c r="Y4" s="311">
        <v>82.5</v>
      </c>
      <c r="Z4" s="311">
        <v>58</v>
      </c>
      <c r="AA4" s="311">
        <v>72.5</v>
      </c>
      <c r="AB4" s="311">
        <v>70</v>
      </c>
      <c r="AC4" s="311"/>
      <c r="AD4" s="311">
        <v>70</v>
      </c>
      <c r="AE4" s="311">
        <v>70</v>
      </c>
      <c r="AF4" s="311">
        <v>87.5</v>
      </c>
      <c r="AG4" s="279"/>
      <c r="AH4" s="311">
        <v>62.5</v>
      </c>
      <c r="AI4" s="311">
        <v>72.5</v>
      </c>
      <c r="AJ4" s="311">
        <v>74</v>
      </c>
      <c r="AK4" s="311">
        <v>90</v>
      </c>
      <c r="AL4" s="311">
        <v>75</v>
      </c>
      <c r="AM4" s="311">
        <v>71</v>
      </c>
      <c r="AN4" s="311">
        <v>77.5</v>
      </c>
      <c r="AO4" s="311">
        <v>76</v>
      </c>
      <c r="AP4" s="311">
        <v>77.5</v>
      </c>
      <c r="AQ4" s="311"/>
      <c r="AR4" s="311"/>
      <c r="AS4" s="311"/>
      <c r="AT4" s="311"/>
      <c r="AU4" s="311"/>
      <c r="AV4" s="311"/>
      <c r="AW4" s="311"/>
      <c r="AX4" s="311"/>
      <c r="AY4" s="311"/>
      <c r="AZ4" s="311"/>
      <c r="BA4" s="311"/>
      <c r="BB4" s="311"/>
      <c r="BC4" s="393">
        <f>AVERAGE(C4:BB4)</f>
        <v>75.060606060606062</v>
      </c>
      <c r="BD4" s="343">
        <f>IF(BC4&lt;5,5,BC4)</f>
        <v>75.060606060606062</v>
      </c>
      <c r="BE4" s="342">
        <f t="shared" ref="BE4:BE15" si="0">RANK(BD4,$BD$4:$BD$16)</f>
        <v>2</v>
      </c>
    </row>
    <row r="5" spans="1:57" s="57" customFormat="1" ht="20.399999999999999">
      <c r="A5" s="340">
        <v>3</v>
      </c>
      <c r="B5" s="340" t="s">
        <v>171</v>
      </c>
      <c r="C5" s="284">
        <v>79.5</v>
      </c>
      <c r="D5" s="311"/>
      <c r="E5" s="311"/>
      <c r="F5" s="311"/>
      <c r="G5" s="311">
        <v>78</v>
      </c>
      <c r="H5" s="311">
        <v>57.5</v>
      </c>
      <c r="I5" s="311">
        <v>45</v>
      </c>
      <c r="J5" s="311">
        <v>62.5</v>
      </c>
      <c r="K5" s="311"/>
      <c r="L5" s="311">
        <v>62.5</v>
      </c>
      <c r="M5" s="311">
        <v>85</v>
      </c>
      <c r="N5" s="311"/>
      <c r="O5" s="311">
        <v>83</v>
      </c>
      <c r="P5" s="311">
        <v>32</v>
      </c>
      <c r="Q5" s="311"/>
      <c r="R5" s="311">
        <v>55</v>
      </c>
      <c r="S5" s="311">
        <v>80</v>
      </c>
      <c r="T5" s="311"/>
      <c r="U5" s="311">
        <v>61</v>
      </c>
      <c r="V5" s="311">
        <v>72.5</v>
      </c>
      <c r="W5" s="311">
        <v>76.5</v>
      </c>
      <c r="X5" s="311">
        <v>78</v>
      </c>
      <c r="Y5" s="311">
        <v>63</v>
      </c>
      <c r="Z5" s="311">
        <v>68</v>
      </c>
      <c r="AA5" s="311">
        <v>55</v>
      </c>
      <c r="AB5" s="311">
        <v>72.5</v>
      </c>
      <c r="AC5" s="311"/>
      <c r="AD5" s="311">
        <v>55</v>
      </c>
      <c r="AE5" s="311">
        <v>70</v>
      </c>
      <c r="AF5" s="311">
        <v>62.5</v>
      </c>
      <c r="AG5" s="279"/>
      <c r="AH5" s="311"/>
      <c r="AI5" s="311">
        <v>45</v>
      </c>
      <c r="AJ5" s="311">
        <v>69</v>
      </c>
      <c r="AK5" s="311">
        <v>65</v>
      </c>
      <c r="AL5" s="311"/>
      <c r="AM5" s="311">
        <v>67</v>
      </c>
      <c r="AN5" s="311">
        <v>65</v>
      </c>
      <c r="AO5" s="311">
        <v>61.5</v>
      </c>
      <c r="AP5" s="311">
        <v>55</v>
      </c>
      <c r="AQ5" s="311"/>
      <c r="AR5" s="311"/>
      <c r="AS5" s="311"/>
      <c r="AT5" s="311"/>
      <c r="AU5" s="311"/>
      <c r="AV5" s="311"/>
      <c r="AW5" s="311"/>
      <c r="AX5" s="311"/>
      <c r="AY5" s="311"/>
      <c r="AZ5" s="311"/>
      <c r="BA5" s="311"/>
      <c r="BB5" s="311"/>
      <c r="BC5" s="393">
        <f t="shared" ref="BC5:BC16" si="1">AVERAGE(C5:BB5)</f>
        <v>64.879310344827587</v>
      </c>
      <c r="BD5" s="343">
        <f>IF(BC5&lt;5,5,BC5)</f>
        <v>64.879310344827587</v>
      </c>
      <c r="BE5" s="342">
        <f t="shared" si="0"/>
        <v>4</v>
      </c>
    </row>
    <row r="6" spans="1:57" s="140" customFormat="1" ht="20.399999999999999">
      <c r="A6" s="340">
        <v>4</v>
      </c>
      <c r="B6" s="340" t="s">
        <v>170</v>
      </c>
      <c r="C6" s="284">
        <v>32.5</v>
      </c>
      <c r="D6" s="311"/>
      <c r="E6" s="311"/>
      <c r="F6" s="311"/>
      <c r="G6" s="311"/>
      <c r="H6" s="311">
        <v>32.5</v>
      </c>
      <c r="I6" s="311">
        <v>45</v>
      </c>
      <c r="J6" s="311">
        <v>32.5</v>
      </c>
      <c r="K6" s="311">
        <v>27</v>
      </c>
      <c r="L6" s="311">
        <v>70</v>
      </c>
      <c r="M6" s="311">
        <v>65</v>
      </c>
      <c r="N6" s="311"/>
      <c r="O6" s="311">
        <v>86</v>
      </c>
      <c r="P6" s="311">
        <v>30</v>
      </c>
      <c r="Q6" s="311">
        <v>45</v>
      </c>
      <c r="R6" s="311">
        <v>40</v>
      </c>
      <c r="S6" s="311">
        <v>52.5</v>
      </c>
      <c r="T6" s="311"/>
      <c r="U6" s="311">
        <v>65</v>
      </c>
      <c r="V6" s="311">
        <v>60</v>
      </c>
      <c r="W6" s="311">
        <v>73</v>
      </c>
      <c r="X6" s="311">
        <v>69</v>
      </c>
      <c r="Y6" s="311">
        <v>66</v>
      </c>
      <c r="Z6" s="311">
        <v>62</v>
      </c>
      <c r="AA6" s="311">
        <v>57.5</v>
      </c>
      <c r="AB6" s="311">
        <v>75</v>
      </c>
      <c r="AC6" s="311"/>
      <c r="AD6" s="311"/>
      <c r="AE6" s="311">
        <v>56</v>
      </c>
      <c r="AF6" s="311">
        <v>47.5</v>
      </c>
      <c r="AG6" s="341"/>
      <c r="AH6" s="311"/>
      <c r="AI6" s="311">
        <v>50</v>
      </c>
      <c r="AJ6" s="311">
        <v>41</v>
      </c>
      <c r="AK6" s="311">
        <v>50</v>
      </c>
      <c r="AL6" s="311"/>
      <c r="AM6" s="311">
        <v>61</v>
      </c>
      <c r="AN6" s="311">
        <v>60</v>
      </c>
      <c r="AO6" s="311"/>
      <c r="AP6" s="311">
        <v>45</v>
      </c>
      <c r="AQ6" s="311"/>
      <c r="AR6" s="311"/>
      <c r="AS6" s="311"/>
      <c r="AT6" s="311"/>
      <c r="AU6" s="311"/>
      <c r="AV6" s="311"/>
      <c r="AW6" s="311"/>
      <c r="AX6" s="311"/>
      <c r="AY6" s="311"/>
      <c r="AZ6" s="311"/>
      <c r="BA6" s="311"/>
      <c r="BB6" s="311"/>
      <c r="BC6" s="393">
        <f t="shared" si="1"/>
        <v>53.428571428571431</v>
      </c>
      <c r="BD6" s="343">
        <f t="shared" ref="BD6:BD16" si="2">IF(BC6&lt;5,5,BC6)</f>
        <v>53.428571428571431</v>
      </c>
      <c r="BE6" s="342">
        <f t="shared" si="0"/>
        <v>6</v>
      </c>
    </row>
    <row r="7" spans="1:57" s="57" customFormat="1" ht="20.399999999999999">
      <c r="A7" s="340">
        <v>5</v>
      </c>
      <c r="B7" s="340" t="s">
        <v>177</v>
      </c>
      <c r="C7" s="284">
        <v>27</v>
      </c>
      <c r="D7" s="311"/>
      <c r="E7" s="311"/>
      <c r="F7" s="311"/>
      <c r="G7" s="311"/>
      <c r="H7" s="311">
        <v>37.5</v>
      </c>
      <c r="I7" s="311">
        <v>22.5</v>
      </c>
      <c r="J7" s="311">
        <v>30</v>
      </c>
      <c r="K7" s="311">
        <v>30</v>
      </c>
      <c r="L7" s="311">
        <v>42.5</v>
      </c>
      <c r="M7" s="311">
        <v>57.5</v>
      </c>
      <c r="N7" s="311"/>
      <c r="O7" s="311">
        <v>67</v>
      </c>
      <c r="P7" s="311">
        <v>55</v>
      </c>
      <c r="Q7" s="311">
        <v>42.5</v>
      </c>
      <c r="R7" s="311">
        <v>35</v>
      </c>
      <c r="S7" s="311">
        <v>50</v>
      </c>
      <c r="T7" s="311"/>
      <c r="U7" s="311">
        <v>24.5</v>
      </c>
      <c r="V7" s="311">
        <v>50</v>
      </c>
      <c r="W7" s="311">
        <v>58</v>
      </c>
      <c r="X7" s="311">
        <v>61</v>
      </c>
      <c r="Y7" s="311">
        <v>42</v>
      </c>
      <c r="Z7" s="311">
        <v>34</v>
      </c>
      <c r="AA7" s="311">
        <v>55</v>
      </c>
      <c r="AB7" s="311">
        <v>50</v>
      </c>
      <c r="AC7" s="311"/>
      <c r="AD7" s="311">
        <v>26</v>
      </c>
      <c r="AE7" s="311">
        <v>60</v>
      </c>
      <c r="AF7" s="311">
        <v>42.5</v>
      </c>
      <c r="AG7" s="279"/>
      <c r="AH7" s="311">
        <v>35</v>
      </c>
      <c r="AI7" s="311">
        <v>32.5</v>
      </c>
      <c r="AJ7" s="311">
        <v>26</v>
      </c>
      <c r="AK7" s="311">
        <v>25</v>
      </c>
      <c r="AL7" s="311">
        <v>40</v>
      </c>
      <c r="AM7" s="311">
        <v>57</v>
      </c>
      <c r="AN7" s="311">
        <v>25</v>
      </c>
      <c r="AO7" s="311"/>
      <c r="AP7" s="311">
        <v>30</v>
      </c>
      <c r="AQ7" s="311"/>
      <c r="AR7" s="311"/>
      <c r="AS7" s="311"/>
      <c r="AT7" s="311"/>
      <c r="AU7" s="311"/>
      <c r="AV7" s="311"/>
      <c r="AW7" s="311"/>
      <c r="AX7" s="311"/>
      <c r="AY7" s="311"/>
      <c r="AZ7" s="311"/>
      <c r="BA7" s="311"/>
      <c r="BB7" s="311"/>
      <c r="BC7" s="393">
        <f t="shared" si="1"/>
        <v>40.967741935483872</v>
      </c>
      <c r="BD7" s="343">
        <f t="shared" si="2"/>
        <v>40.967741935483872</v>
      </c>
      <c r="BE7" s="342">
        <f t="shared" si="0"/>
        <v>12</v>
      </c>
    </row>
    <row r="8" spans="1:57" s="57" customFormat="1" ht="20.399999999999999">
      <c r="A8" s="340">
        <v>6</v>
      </c>
      <c r="B8" s="340" t="s">
        <v>210</v>
      </c>
      <c r="C8" s="311">
        <v>85</v>
      </c>
      <c r="D8" s="311"/>
      <c r="E8" s="311"/>
      <c r="F8" s="311"/>
      <c r="G8" s="311"/>
      <c r="H8" s="341">
        <v>55</v>
      </c>
      <c r="I8" s="311">
        <v>88</v>
      </c>
      <c r="J8" s="311">
        <v>62.5</v>
      </c>
      <c r="K8" s="311">
        <v>47.5</v>
      </c>
      <c r="L8" s="311"/>
      <c r="M8" s="311">
        <v>95</v>
      </c>
      <c r="N8" s="311"/>
      <c r="O8" s="311">
        <v>82</v>
      </c>
      <c r="P8" s="311">
        <v>75.5</v>
      </c>
      <c r="Q8" s="311">
        <v>55</v>
      </c>
      <c r="R8" s="311">
        <v>47.5</v>
      </c>
      <c r="S8" s="311">
        <v>72.5</v>
      </c>
      <c r="T8" s="311"/>
      <c r="U8" s="311">
        <v>80</v>
      </c>
      <c r="V8" s="311">
        <v>75</v>
      </c>
      <c r="W8" s="311">
        <v>78</v>
      </c>
      <c r="X8" s="311">
        <v>75</v>
      </c>
      <c r="Y8" s="311">
        <v>82</v>
      </c>
      <c r="Z8" s="311">
        <v>60</v>
      </c>
      <c r="AA8" s="311">
        <v>70</v>
      </c>
      <c r="AB8" s="311">
        <v>75</v>
      </c>
      <c r="AC8" s="311"/>
      <c r="AD8" s="311">
        <v>73</v>
      </c>
      <c r="AE8" s="311">
        <v>69</v>
      </c>
      <c r="AF8" s="311">
        <v>67.5</v>
      </c>
      <c r="AG8" s="311"/>
      <c r="AH8" s="311">
        <v>78.5</v>
      </c>
      <c r="AI8" s="311">
        <v>45</v>
      </c>
      <c r="AJ8" s="311">
        <v>64</v>
      </c>
      <c r="AK8" s="311">
        <v>75</v>
      </c>
      <c r="AL8" s="311">
        <v>55</v>
      </c>
      <c r="AM8" s="311">
        <v>73</v>
      </c>
      <c r="AN8" s="311">
        <v>70</v>
      </c>
      <c r="AO8" s="311"/>
      <c r="AP8" s="311">
        <v>72.5</v>
      </c>
      <c r="AQ8" s="311"/>
      <c r="AR8" s="311"/>
      <c r="AS8" s="311"/>
      <c r="AT8" s="311"/>
      <c r="AU8" s="311"/>
      <c r="AV8" s="311"/>
      <c r="AW8" s="311"/>
      <c r="AX8" s="311"/>
      <c r="AY8" s="311"/>
      <c r="AZ8" s="311"/>
      <c r="BA8" s="311"/>
      <c r="BB8" s="311"/>
      <c r="BC8" s="393">
        <f t="shared" si="1"/>
        <v>70.099999999999994</v>
      </c>
      <c r="BD8" s="343">
        <f t="shared" si="2"/>
        <v>70.099999999999994</v>
      </c>
      <c r="BE8" s="342">
        <f t="shared" si="0"/>
        <v>3</v>
      </c>
    </row>
    <row r="9" spans="1:57" s="209" customFormat="1" ht="20.399999999999999">
      <c r="A9" s="340">
        <v>7</v>
      </c>
      <c r="B9" s="340" t="s">
        <v>173</v>
      </c>
      <c r="C9" s="311">
        <v>81</v>
      </c>
      <c r="D9" s="311">
        <v>76</v>
      </c>
      <c r="E9" s="311"/>
      <c r="F9" s="311"/>
      <c r="G9" s="311"/>
      <c r="H9" s="345">
        <v>60</v>
      </c>
      <c r="I9" s="311">
        <v>77.5</v>
      </c>
      <c r="J9" s="311">
        <v>80</v>
      </c>
      <c r="K9" s="311">
        <v>55</v>
      </c>
      <c r="L9" s="311">
        <v>77.5</v>
      </c>
      <c r="M9" s="311">
        <v>100</v>
      </c>
      <c r="N9" s="311"/>
      <c r="O9" s="311">
        <v>95</v>
      </c>
      <c r="P9" s="311"/>
      <c r="Q9" s="311">
        <v>80</v>
      </c>
      <c r="R9" s="311">
        <v>90</v>
      </c>
      <c r="S9" s="311">
        <v>95</v>
      </c>
      <c r="T9" s="311"/>
      <c r="U9" s="311">
        <v>76</v>
      </c>
      <c r="V9" s="311">
        <v>65</v>
      </c>
      <c r="W9" s="311">
        <v>86.5</v>
      </c>
      <c r="X9" s="311"/>
      <c r="Y9" s="311">
        <v>62</v>
      </c>
      <c r="Z9" s="311">
        <v>66</v>
      </c>
      <c r="AA9" s="311">
        <v>75</v>
      </c>
      <c r="AB9" s="311">
        <v>75</v>
      </c>
      <c r="AC9" s="311"/>
      <c r="AD9" s="311">
        <v>71</v>
      </c>
      <c r="AE9" s="311">
        <v>66</v>
      </c>
      <c r="AF9" s="311">
        <v>80</v>
      </c>
      <c r="AG9" s="311"/>
      <c r="AH9" s="311">
        <v>81</v>
      </c>
      <c r="AI9" s="311">
        <v>65</v>
      </c>
      <c r="AJ9" s="311">
        <v>54</v>
      </c>
      <c r="AK9" s="311">
        <v>90</v>
      </c>
      <c r="AL9" s="311"/>
      <c r="AM9" s="311">
        <v>69</v>
      </c>
      <c r="AN9" s="311">
        <v>77.5</v>
      </c>
      <c r="AO9" s="311"/>
      <c r="AP9" s="311"/>
      <c r="AQ9" s="311"/>
      <c r="AR9" s="311"/>
      <c r="AS9" s="311"/>
      <c r="AT9" s="311"/>
      <c r="AU9" s="311"/>
      <c r="AV9" s="311"/>
      <c r="AW9" s="311"/>
      <c r="AX9" s="311"/>
      <c r="AY9" s="311"/>
      <c r="AZ9" s="311"/>
      <c r="BA9" s="311"/>
      <c r="BB9" s="311"/>
      <c r="BC9" s="393">
        <f t="shared" si="1"/>
        <v>75.928571428571431</v>
      </c>
      <c r="BD9" s="343">
        <f t="shared" si="2"/>
        <v>75.928571428571431</v>
      </c>
      <c r="BE9" s="342">
        <f t="shared" si="0"/>
        <v>1</v>
      </c>
    </row>
    <row r="10" spans="1:57" s="57" customFormat="1" ht="18.75" customHeight="1">
      <c r="A10" s="340">
        <v>8</v>
      </c>
      <c r="B10" s="433" t="s">
        <v>179</v>
      </c>
      <c r="C10" s="311">
        <v>63.5</v>
      </c>
      <c r="D10" s="311">
        <v>77.5</v>
      </c>
      <c r="E10" s="311"/>
      <c r="F10" s="311"/>
      <c r="G10" s="311">
        <v>78</v>
      </c>
      <c r="H10" s="341">
        <v>35</v>
      </c>
      <c r="I10" s="311">
        <v>36</v>
      </c>
      <c r="J10" s="311">
        <v>50</v>
      </c>
      <c r="K10" s="311">
        <v>52.5</v>
      </c>
      <c r="L10" s="311">
        <v>75</v>
      </c>
      <c r="M10" s="311">
        <v>60</v>
      </c>
      <c r="N10" s="311">
        <v>64</v>
      </c>
      <c r="O10" s="311">
        <v>87.5</v>
      </c>
      <c r="P10" s="311"/>
      <c r="Q10" s="311">
        <v>67.5</v>
      </c>
      <c r="R10" s="311">
        <v>52.5</v>
      </c>
      <c r="S10" s="311">
        <v>85</v>
      </c>
      <c r="T10" s="311"/>
      <c r="U10" s="311">
        <v>65</v>
      </c>
      <c r="V10" s="311">
        <v>55</v>
      </c>
      <c r="W10" s="311">
        <v>75.5</v>
      </c>
      <c r="X10" s="311">
        <v>76</v>
      </c>
      <c r="Y10" s="311">
        <v>63</v>
      </c>
      <c r="Z10" s="311">
        <v>58</v>
      </c>
      <c r="AA10" s="311">
        <v>82.5</v>
      </c>
      <c r="AB10" s="311">
        <v>70</v>
      </c>
      <c r="AC10" s="311"/>
      <c r="AD10" s="311">
        <v>52</v>
      </c>
      <c r="AE10" s="311">
        <v>71</v>
      </c>
      <c r="AF10" s="311"/>
      <c r="AG10" s="311"/>
      <c r="AH10" s="311"/>
      <c r="AI10" s="311">
        <v>60</v>
      </c>
      <c r="AJ10" s="311">
        <v>60</v>
      </c>
      <c r="AK10" s="311">
        <v>65</v>
      </c>
      <c r="AL10" s="311">
        <v>75</v>
      </c>
      <c r="AM10" s="311">
        <v>64</v>
      </c>
      <c r="AN10" s="311"/>
      <c r="AO10" s="311">
        <v>54</v>
      </c>
      <c r="AP10" s="311"/>
      <c r="AQ10" s="311"/>
      <c r="AR10" s="311"/>
      <c r="AS10" s="311"/>
      <c r="AT10" s="311"/>
      <c r="AU10" s="311"/>
      <c r="AV10" s="311"/>
      <c r="AW10" s="311"/>
      <c r="AX10" s="311"/>
      <c r="AY10" s="311"/>
      <c r="AZ10" s="311"/>
      <c r="BA10" s="311"/>
      <c r="BB10" s="311"/>
      <c r="BC10" s="393">
        <f t="shared" si="1"/>
        <v>64.333333333333329</v>
      </c>
      <c r="BD10" s="343">
        <f t="shared" si="2"/>
        <v>64.333333333333329</v>
      </c>
      <c r="BE10" s="342">
        <f t="shared" si="0"/>
        <v>5</v>
      </c>
    </row>
    <row r="11" spans="1:57" s="57" customFormat="1" ht="20.399999999999999">
      <c r="A11" s="340">
        <v>9</v>
      </c>
      <c r="B11" s="340" t="s">
        <v>178</v>
      </c>
      <c r="C11" s="311">
        <v>41</v>
      </c>
      <c r="D11" s="311">
        <v>40</v>
      </c>
      <c r="E11" s="311"/>
      <c r="F11" s="311"/>
      <c r="G11" s="311">
        <v>46.5</v>
      </c>
      <c r="H11" s="341">
        <v>30</v>
      </c>
      <c r="I11" s="311">
        <v>30</v>
      </c>
      <c r="J11" s="311">
        <v>15</v>
      </c>
      <c r="K11" s="311">
        <v>35</v>
      </c>
      <c r="L11" s="311">
        <v>27.5</v>
      </c>
      <c r="M11" s="311">
        <v>35</v>
      </c>
      <c r="N11" s="311">
        <v>54</v>
      </c>
      <c r="O11" s="311">
        <v>52</v>
      </c>
      <c r="P11" s="311"/>
      <c r="Q11" s="311">
        <v>22.5</v>
      </c>
      <c r="R11" s="311">
        <v>32.5</v>
      </c>
      <c r="S11" s="311">
        <v>55</v>
      </c>
      <c r="T11" s="311"/>
      <c r="U11" s="311">
        <v>20</v>
      </c>
      <c r="V11" s="311"/>
      <c r="W11" s="311">
        <v>56.5</v>
      </c>
      <c r="X11" s="311">
        <v>40</v>
      </c>
      <c r="Y11" s="311">
        <v>38</v>
      </c>
      <c r="Z11" s="311">
        <v>40</v>
      </c>
      <c r="AA11" s="311">
        <v>45</v>
      </c>
      <c r="AB11" s="311">
        <v>55</v>
      </c>
      <c r="AC11" s="311"/>
      <c r="AD11" s="311">
        <v>38</v>
      </c>
      <c r="AE11" s="311"/>
      <c r="AF11" s="311">
        <v>42.5</v>
      </c>
      <c r="AG11" s="311">
        <v>25</v>
      </c>
      <c r="AH11" s="311"/>
      <c r="AI11" s="311">
        <v>27.5</v>
      </c>
      <c r="AJ11" s="311">
        <v>26</v>
      </c>
      <c r="AK11" s="311"/>
      <c r="AL11" s="311"/>
      <c r="AM11" s="311"/>
      <c r="AN11" s="311"/>
      <c r="AO11" s="311"/>
      <c r="AP11" s="311"/>
      <c r="AQ11" s="311"/>
      <c r="AR11" s="311"/>
      <c r="AS11" s="311"/>
      <c r="AT11" s="311"/>
      <c r="AU11" s="311"/>
      <c r="AV11" s="311"/>
      <c r="AW11" s="311"/>
      <c r="AX11" s="311"/>
      <c r="AY11" s="311"/>
      <c r="AZ11" s="311"/>
      <c r="BA11" s="311"/>
      <c r="BB11" s="311"/>
      <c r="BC11" s="393">
        <f t="shared" si="1"/>
        <v>37.28846153846154</v>
      </c>
      <c r="BD11" s="343">
        <f t="shared" si="2"/>
        <v>37.28846153846154</v>
      </c>
      <c r="BE11" s="342">
        <f t="shared" si="0"/>
        <v>13</v>
      </c>
    </row>
    <row r="12" spans="1:57" s="209" customFormat="1" ht="20.399999999999999">
      <c r="A12" s="340">
        <v>10</v>
      </c>
      <c r="B12" s="340" t="s">
        <v>180</v>
      </c>
      <c r="C12" s="311">
        <v>43</v>
      </c>
      <c r="D12" s="311">
        <v>45</v>
      </c>
      <c r="E12" s="311"/>
      <c r="F12" s="311"/>
      <c r="G12" s="311">
        <v>50.5</v>
      </c>
      <c r="H12" s="345">
        <v>27.5</v>
      </c>
      <c r="I12" s="311">
        <v>32.5</v>
      </c>
      <c r="J12" s="311">
        <v>20</v>
      </c>
      <c r="K12" s="311">
        <v>40</v>
      </c>
      <c r="L12" s="311">
        <v>42.5</v>
      </c>
      <c r="M12" s="311">
        <v>60</v>
      </c>
      <c r="N12" s="311">
        <v>52</v>
      </c>
      <c r="O12" s="311">
        <v>45</v>
      </c>
      <c r="P12" s="311"/>
      <c r="Q12" s="311">
        <v>37.5</v>
      </c>
      <c r="R12" s="311">
        <v>35</v>
      </c>
      <c r="S12" s="311">
        <v>70</v>
      </c>
      <c r="T12" s="311"/>
      <c r="U12" s="311">
        <v>25</v>
      </c>
      <c r="V12" s="311"/>
      <c r="W12" s="311">
        <v>40.5</v>
      </c>
      <c r="X12" s="311">
        <v>47</v>
      </c>
      <c r="Y12" s="311">
        <v>53</v>
      </c>
      <c r="Z12" s="311">
        <v>40</v>
      </c>
      <c r="AA12" s="311">
        <v>35</v>
      </c>
      <c r="AB12" s="311">
        <v>60</v>
      </c>
      <c r="AC12" s="311">
        <v>70</v>
      </c>
      <c r="AD12" s="311">
        <v>36</v>
      </c>
      <c r="AE12" s="311"/>
      <c r="AF12" s="311">
        <v>37.5</v>
      </c>
      <c r="AG12" s="311">
        <v>40</v>
      </c>
      <c r="AH12" s="311"/>
      <c r="AI12" s="311">
        <v>40</v>
      </c>
      <c r="AJ12" s="311">
        <v>28</v>
      </c>
      <c r="AK12" s="311"/>
      <c r="AL12" s="311"/>
      <c r="AM12" s="311"/>
      <c r="AN12" s="311"/>
      <c r="AO12" s="311"/>
      <c r="AP12" s="311"/>
      <c r="AQ12" s="311"/>
      <c r="AR12" s="311"/>
      <c r="AS12" s="311"/>
      <c r="AT12" s="311"/>
      <c r="AU12" s="311"/>
      <c r="AV12" s="311"/>
      <c r="AW12" s="311"/>
      <c r="AX12" s="311"/>
      <c r="AY12" s="311"/>
      <c r="AZ12" s="311"/>
      <c r="BA12" s="311"/>
      <c r="BB12" s="311"/>
      <c r="BC12" s="393">
        <f t="shared" si="1"/>
        <v>42.685185185185183</v>
      </c>
      <c r="BD12" s="343">
        <f t="shared" si="2"/>
        <v>42.685185185185183</v>
      </c>
      <c r="BE12" s="342">
        <f t="shared" si="0"/>
        <v>11</v>
      </c>
    </row>
    <row r="13" spans="1:57" s="57" customFormat="1" ht="20.399999999999999">
      <c r="A13" s="340">
        <v>11</v>
      </c>
      <c r="B13" s="340" t="s">
        <v>176</v>
      </c>
      <c r="C13" s="311">
        <v>58.5</v>
      </c>
      <c r="D13" s="311">
        <v>70</v>
      </c>
      <c r="E13" s="311"/>
      <c r="F13" s="311">
        <v>45</v>
      </c>
      <c r="G13" s="311">
        <v>58</v>
      </c>
      <c r="H13" s="341">
        <v>40</v>
      </c>
      <c r="I13" s="311">
        <v>37.5</v>
      </c>
      <c r="J13" s="311">
        <v>35</v>
      </c>
      <c r="K13" s="311">
        <v>37.5</v>
      </c>
      <c r="L13" s="311">
        <v>40</v>
      </c>
      <c r="M13" s="311">
        <v>67.5</v>
      </c>
      <c r="N13" s="311">
        <v>61</v>
      </c>
      <c r="O13" s="311">
        <v>66</v>
      </c>
      <c r="P13" s="311"/>
      <c r="Q13" s="311">
        <v>32.5</v>
      </c>
      <c r="R13" s="311">
        <v>40</v>
      </c>
      <c r="S13" s="311">
        <v>52.5</v>
      </c>
      <c r="T13" s="311"/>
      <c r="U13" s="311">
        <v>42.5</v>
      </c>
      <c r="V13" s="311"/>
      <c r="W13" s="311">
        <v>76</v>
      </c>
      <c r="X13" s="311">
        <v>72</v>
      </c>
      <c r="Y13" s="311">
        <v>48</v>
      </c>
      <c r="Z13" s="311">
        <v>52</v>
      </c>
      <c r="AA13" s="311">
        <v>45</v>
      </c>
      <c r="AB13" s="311"/>
      <c r="AC13" s="311">
        <v>47.5</v>
      </c>
      <c r="AD13" s="311">
        <v>43</v>
      </c>
      <c r="AE13" s="311"/>
      <c r="AF13" s="311"/>
      <c r="AG13" s="311">
        <v>57.5</v>
      </c>
      <c r="AH13" s="311">
        <v>40</v>
      </c>
      <c r="AI13" s="311"/>
      <c r="AJ13" s="311">
        <v>33</v>
      </c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  <c r="BA13" s="311"/>
      <c r="BB13" s="311"/>
      <c r="BC13" s="393">
        <f t="shared" si="1"/>
        <v>49.903846153846153</v>
      </c>
      <c r="BD13" s="343">
        <f t="shared" si="2"/>
        <v>49.903846153846153</v>
      </c>
      <c r="BE13" s="342">
        <f t="shared" si="0"/>
        <v>8</v>
      </c>
    </row>
    <row r="14" spans="1:57" s="57" customFormat="1" ht="20.399999999999999">
      <c r="A14" s="340">
        <v>12</v>
      </c>
      <c r="B14" s="340" t="s">
        <v>174</v>
      </c>
      <c r="C14" s="311">
        <v>62.5</v>
      </c>
      <c r="D14" s="311">
        <v>65</v>
      </c>
      <c r="E14" s="311"/>
      <c r="F14" s="311">
        <v>45</v>
      </c>
      <c r="G14" s="311">
        <v>57</v>
      </c>
      <c r="H14" s="341">
        <v>32.5</v>
      </c>
      <c r="I14" s="311">
        <v>42.5</v>
      </c>
      <c r="J14" s="311">
        <v>22.5</v>
      </c>
      <c r="K14" s="311">
        <v>37.5</v>
      </c>
      <c r="L14" s="311">
        <v>57.5</v>
      </c>
      <c r="M14" s="311">
        <v>55</v>
      </c>
      <c r="N14" s="311">
        <v>51</v>
      </c>
      <c r="O14" s="311">
        <v>66</v>
      </c>
      <c r="P14" s="311"/>
      <c r="Q14" s="311">
        <v>22.5</v>
      </c>
      <c r="R14" s="311">
        <v>37.5</v>
      </c>
      <c r="S14" s="311">
        <v>55</v>
      </c>
      <c r="T14" s="311"/>
      <c r="U14" s="311">
        <v>48</v>
      </c>
      <c r="V14" s="311">
        <v>47.5</v>
      </c>
      <c r="W14" s="311">
        <v>72</v>
      </c>
      <c r="X14" s="311">
        <v>59</v>
      </c>
      <c r="Y14" s="311">
        <v>44</v>
      </c>
      <c r="Z14" s="311">
        <v>46</v>
      </c>
      <c r="AA14" s="311">
        <v>55</v>
      </c>
      <c r="AB14" s="311">
        <v>55</v>
      </c>
      <c r="AC14" s="311">
        <v>42.5</v>
      </c>
      <c r="AD14" s="311">
        <v>33</v>
      </c>
      <c r="AE14" s="311">
        <v>56</v>
      </c>
      <c r="AF14" s="311">
        <v>42.5</v>
      </c>
      <c r="AG14" s="311">
        <v>50</v>
      </c>
      <c r="AH14" s="311"/>
      <c r="AI14" s="311"/>
      <c r="AJ14" s="311"/>
      <c r="AK14" s="311"/>
      <c r="AL14" s="311"/>
      <c r="AM14" s="311"/>
      <c r="AN14" s="311"/>
      <c r="AO14" s="311"/>
      <c r="AP14" s="311"/>
      <c r="AQ14" s="311"/>
      <c r="AR14" s="311"/>
      <c r="AS14" s="311"/>
      <c r="AT14" s="311"/>
      <c r="AU14" s="311"/>
      <c r="AV14" s="311"/>
      <c r="AW14" s="311"/>
      <c r="AX14" s="311"/>
      <c r="AY14" s="311"/>
      <c r="AZ14" s="311"/>
      <c r="BA14" s="311"/>
      <c r="BB14" s="311"/>
      <c r="BC14" s="393">
        <f t="shared" si="1"/>
        <v>48.553571428571431</v>
      </c>
      <c r="BD14" s="343">
        <f t="shared" si="2"/>
        <v>48.553571428571431</v>
      </c>
      <c r="BE14" s="342">
        <f t="shared" si="0"/>
        <v>10</v>
      </c>
    </row>
    <row r="15" spans="1:57" s="57" customFormat="1" ht="20.399999999999999">
      <c r="A15" s="340">
        <v>13</v>
      </c>
      <c r="B15" s="340" t="s">
        <v>211</v>
      </c>
      <c r="C15" s="311">
        <v>71.5</v>
      </c>
      <c r="D15" s="311">
        <v>80</v>
      </c>
      <c r="E15" s="311">
        <v>63.5</v>
      </c>
      <c r="F15" s="311">
        <v>40</v>
      </c>
      <c r="G15" s="311">
        <v>66</v>
      </c>
      <c r="H15" s="341">
        <v>37.5</v>
      </c>
      <c r="I15" s="311">
        <v>52.5</v>
      </c>
      <c r="J15" s="311">
        <v>45</v>
      </c>
      <c r="K15" s="311">
        <v>50</v>
      </c>
      <c r="L15" s="311">
        <v>32.5</v>
      </c>
      <c r="M15" s="311">
        <v>72.5</v>
      </c>
      <c r="N15" s="311">
        <v>69</v>
      </c>
      <c r="O15" s="311">
        <v>59</v>
      </c>
      <c r="P15" s="311">
        <v>34</v>
      </c>
      <c r="Q15" s="311">
        <v>32.5</v>
      </c>
      <c r="R15" s="311">
        <v>40</v>
      </c>
      <c r="S15" s="311">
        <v>42.5</v>
      </c>
      <c r="T15" s="311">
        <v>35</v>
      </c>
      <c r="U15" s="311">
        <v>54</v>
      </c>
      <c r="V15" s="311">
        <v>37.5</v>
      </c>
      <c r="W15" s="311">
        <v>76</v>
      </c>
      <c r="X15" s="311"/>
      <c r="Y15" s="311">
        <v>54</v>
      </c>
      <c r="Z15" s="311">
        <v>54</v>
      </c>
      <c r="AA15" s="311">
        <v>55</v>
      </c>
      <c r="AB15" s="311">
        <v>67.5</v>
      </c>
      <c r="AC15" s="311">
        <v>52.5</v>
      </c>
      <c r="AD15" s="311">
        <v>43</v>
      </c>
      <c r="AE15" s="311">
        <v>42.5</v>
      </c>
      <c r="AF15" s="311">
        <v>52.5</v>
      </c>
      <c r="AG15" s="311">
        <v>70</v>
      </c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11"/>
      <c r="AW15" s="311"/>
      <c r="AX15" s="311"/>
      <c r="AY15" s="311"/>
      <c r="AZ15" s="311"/>
      <c r="BA15" s="311"/>
      <c r="BB15" s="311"/>
      <c r="BC15" s="393">
        <f t="shared" si="1"/>
        <v>52.716666666666669</v>
      </c>
      <c r="BD15" s="343">
        <f t="shared" si="2"/>
        <v>52.716666666666669</v>
      </c>
      <c r="BE15" s="342">
        <f t="shared" si="0"/>
        <v>7</v>
      </c>
    </row>
    <row r="16" spans="1:57" s="140" customFormat="1" ht="20.399999999999999">
      <c r="A16" s="340">
        <v>14</v>
      </c>
      <c r="B16" s="340" t="s">
        <v>175</v>
      </c>
      <c r="C16" s="339">
        <v>50.5</v>
      </c>
      <c r="D16" s="339">
        <v>42.5</v>
      </c>
      <c r="E16" s="339"/>
      <c r="F16" s="339">
        <v>50</v>
      </c>
      <c r="G16" s="339">
        <v>67</v>
      </c>
      <c r="H16" s="341">
        <v>30</v>
      </c>
      <c r="I16" s="339">
        <v>52.5</v>
      </c>
      <c r="J16" s="339">
        <v>30</v>
      </c>
      <c r="K16" s="339">
        <v>32.5</v>
      </c>
      <c r="L16" s="339">
        <v>67.5</v>
      </c>
      <c r="M16" s="339">
        <v>67.5</v>
      </c>
      <c r="N16" s="339">
        <v>51</v>
      </c>
      <c r="O16" s="339">
        <v>59</v>
      </c>
      <c r="P16" s="339">
        <v>62.5</v>
      </c>
      <c r="Q16" s="339">
        <v>32.5</v>
      </c>
      <c r="R16" s="339">
        <v>42.5</v>
      </c>
      <c r="S16" s="339">
        <v>53</v>
      </c>
      <c r="T16" s="339">
        <v>37.5</v>
      </c>
      <c r="U16" s="339">
        <v>45.5</v>
      </c>
      <c r="V16" s="339">
        <v>52.5</v>
      </c>
      <c r="W16" s="339">
        <v>64.5</v>
      </c>
      <c r="X16" s="339">
        <v>66</v>
      </c>
      <c r="Y16" s="339">
        <v>54</v>
      </c>
      <c r="Z16" s="339">
        <v>44</v>
      </c>
      <c r="AA16" s="339">
        <v>45</v>
      </c>
      <c r="AB16" s="339">
        <v>45</v>
      </c>
      <c r="AC16" s="339">
        <v>30</v>
      </c>
      <c r="AD16" s="339">
        <v>35</v>
      </c>
      <c r="AE16" s="339">
        <v>57</v>
      </c>
      <c r="AF16" s="339">
        <v>57.5</v>
      </c>
      <c r="AG16" s="339"/>
      <c r="AH16" s="339"/>
      <c r="AI16" s="339"/>
      <c r="AJ16" s="339"/>
      <c r="AK16" s="339"/>
      <c r="AL16" s="339"/>
      <c r="AM16" s="339"/>
      <c r="AN16" s="339"/>
      <c r="AO16" s="339"/>
      <c r="AP16" s="339"/>
      <c r="AQ16" s="339"/>
      <c r="AR16" s="339"/>
      <c r="AS16" s="339"/>
      <c r="AT16" s="339"/>
      <c r="AU16" s="339"/>
      <c r="AV16" s="339"/>
      <c r="AW16" s="339"/>
      <c r="AX16" s="339"/>
      <c r="AY16" s="339"/>
      <c r="AZ16" s="339"/>
      <c r="BA16" s="339"/>
      <c r="BB16" s="339"/>
      <c r="BC16" s="393">
        <f t="shared" si="1"/>
        <v>49.103448275862071</v>
      </c>
      <c r="BD16" s="343">
        <f t="shared" si="2"/>
        <v>49.103448275862071</v>
      </c>
      <c r="BE16" s="342">
        <f>RANK(BD16,$BD$4:$BD$16)</f>
        <v>9</v>
      </c>
    </row>
    <row r="17" spans="3:56"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3"/>
      <c r="BD17" s="167"/>
    </row>
    <row r="18" spans="3:56">
      <c r="C18"/>
      <c r="BC18" s="234"/>
      <c r="BD18" s="239"/>
    </row>
    <row r="19" spans="3:56" ht="18" customHeight="1">
      <c r="C19" s="553"/>
      <c r="D19" s="553"/>
      <c r="E19" s="553"/>
      <c r="F19" s="558"/>
      <c r="G19" s="553"/>
      <c r="H19" s="552"/>
      <c r="I19" s="553"/>
      <c r="J19" s="553"/>
      <c r="K19" s="553"/>
      <c r="L19" s="553"/>
      <c r="M19" s="552"/>
      <c r="N19" s="553"/>
      <c r="O19" s="552"/>
      <c r="P19" s="556"/>
      <c r="Q19" s="553"/>
      <c r="R19" s="557"/>
      <c r="S19" s="553"/>
      <c r="T19" s="553"/>
      <c r="U19" s="553"/>
      <c r="V19" s="553"/>
      <c r="W19" s="553"/>
      <c r="X19" s="553"/>
      <c r="Y19" s="553"/>
      <c r="Z19" s="553"/>
      <c r="AA19" s="553"/>
      <c r="AB19" s="552"/>
      <c r="AC19" s="553"/>
      <c r="AD19" s="553"/>
      <c r="AE19" s="553"/>
      <c r="AF19" s="551"/>
      <c r="AG19" s="552"/>
      <c r="AH19" s="553"/>
      <c r="AI19" s="553"/>
      <c r="AJ19" s="553"/>
      <c r="AK19" s="552"/>
      <c r="AL19" s="555"/>
      <c r="AM19" s="551"/>
      <c r="AN19" s="553"/>
      <c r="AO19" s="553"/>
      <c r="AP19" s="554"/>
      <c r="AQ19" s="554"/>
      <c r="AR19" s="554"/>
      <c r="AS19" s="554"/>
      <c r="AT19" s="554"/>
      <c r="AU19" s="401"/>
      <c r="AV19" s="401"/>
      <c r="AW19" s="401"/>
      <c r="AX19" s="401"/>
      <c r="AY19" s="401"/>
      <c r="AZ19" s="401"/>
      <c r="BA19" s="401"/>
      <c r="BB19" s="401"/>
    </row>
    <row r="20" spans="3:56" ht="12.75" customHeight="1">
      <c r="C20" s="553"/>
      <c r="D20" s="553"/>
      <c r="E20" s="553"/>
      <c r="F20" s="558"/>
      <c r="G20" s="553"/>
      <c r="H20" s="552"/>
      <c r="I20" s="553"/>
      <c r="J20" s="553"/>
      <c r="K20" s="553"/>
      <c r="L20" s="553"/>
      <c r="M20" s="552"/>
      <c r="N20" s="553"/>
      <c r="O20" s="552"/>
      <c r="P20" s="556"/>
      <c r="Q20" s="553"/>
      <c r="R20" s="557"/>
      <c r="S20" s="553"/>
      <c r="T20" s="553"/>
      <c r="U20" s="553"/>
      <c r="V20" s="553"/>
      <c r="W20" s="553"/>
      <c r="X20" s="553"/>
      <c r="Y20" s="553"/>
      <c r="Z20" s="553"/>
      <c r="AA20" s="553"/>
      <c r="AB20" s="552"/>
      <c r="AC20" s="553"/>
      <c r="AD20" s="553"/>
      <c r="AE20" s="553"/>
      <c r="AF20" s="551"/>
      <c r="AG20" s="552"/>
      <c r="AH20" s="553"/>
      <c r="AI20" s="553"/>
      <c r="AJ20" s="553"/>
      <c r="AK20" s="552"/>
      <c r="AL20" s="555"/>
      <c r="AM20" s="551"/>
      <c r="AN20" s="553"/>
      <c r="AO20" s="553"/>
      <c r="AP20" s="554"/>
      <c r="AQ20" s="554"/>
      <c r="AR20" s="554"/>
      <c r="AS20" s="554"/>
      <c r="AT20" s="554"/>
      <c r="AU20" s="401"/>
      <c r="AV20" s="401"/>
      <c r="AW20" s="401"/>
      <c r="AX20" s="401"/>
      <c r="AY20" s="401"/>
      <c r="AZ20" s="401"/>
      <c r="BA20" s="401"/>
      <c r="BB20" s="401"/>
    </row>
    <row r="21" spans="3:56" ht="12.75" customHeight="1">
      <c r="C21" s="553"/>
      <c r="D21" s="553"/>
      <c r="E21" s="553"/>
      <c r="F21" s="558"/>
      <c r="G21" s="553"/>
      <c r="H21" s="552"/>
      <c r="I21" s="553"/>
      <c r="J21" s="553"/>
      <c r="K21" s="553"/>
      <c r="L21" s="553"/>
      <c r="M21" s="552"/>
      <c r="N21" s="553"/>
      <c r="O21" s="552"/>
      <c r="P21" s="556"/>
      <c r="Q21" s="553"/>
      <c r="R21" s="557"/>
      <c r="S21" s="553"/>
      <c r="T21" s="553"/>
      <c r="U21" s="553"/>
      <c r="V21" s="553"/>
      <c r="W21" s="553"/>
      <c r="X21" s="553"/>
      <c r="Y21" s="553"/>
      <c r="Z21" s="553"/>
      <c r="AA21" s="553"/>
      <c r="AB21" s="552"/>
      <c r="AC21" s="553"/>
      <c r="AD21" s="553"/>
      <c r="AE21" s="553"/>
      <c r="AF21" s="551"/>
      <c r="AG21" s="552"/>
      <c r="AH21" s="553"/>
      <c r="AI21" s="553"/>
      <c r="AJ21" s="553"/>
      <c r="AK21" s="552"/>
      <c r="AL21" s="555"/>
      <c r="AM21" s="551"/>
      <c r="AN21" s="553"/>
      <c r="AO21" s="553"/>
      <c r="AP21" s="554"/>
      <c r="AQ21" s="554"/>
      <c r="AR21" s="554"/>
      <c r="AS21" s="554"/>
      <c r="AT21" s="554"/>
      <c r="AU21" s="401"/>
      <c r="AV21" s="401"/>
      <c r="AW21" s="401"/>
      <c r="AX21" s="401"/>
      <c r="AY21" s="401"/>
      <c r="AZ21" s="401"/>
      <c r="BA21" s="401"/>
      <c r="BB21" s="401"/>
    </row>
    <row r="22" spans="3:56" ht="12.75" customHeight="1">
      <c r="C22" s="553"/>
      <c r="D22" s="553"/>
      <c r="E22" s="553"/>
      <c r="F22" s="558"/>
      <c r="G22" s="553"/>
      <c r="H22" s="552"/>
      <c r="I22" s="553"/>
      <c r="J22" s="553"/>
      <c r="K22" s="553"/>
      <c r="L22" s="553"/>
      <c r="M22" s="552"/>
      <c r="N22" s="553"/>
      <c r="O22" s="552"/>
      <c r="P22" s="556"/>
      <c r="Q22" s="553"/>
      <c r="R22" s="557"/>
      <c r="S22" s="553"/>
      <c r="T22" s="553"/>
      <c r="U22" s="553"/>
      <c r="V22" s="553"/>
      <c r="W22" s="553"/>
      <c r="X22" s="553"/>
      <c r="Y22" s="553"/>
      <c r="Z22" s="553"/>
      <c r="AA22" s="553"/>
      <c r="AB22" s="552"/>
      <c r="AC22" s="553"/>
      <c r="AD22" s="553"/>
      <c r="AE22" s="553"/>
      <c r="AF22" s="551"/>
      <c r="AG22" s="552"/>
      <c r="AH22" s="553"/>
      <c r="AI22" s="553"/>
      <c r="AJ22" s="553"/>
      <c r="AK22" s="552"/>
      <c r="AL22" s="555"/>
      <c r="AM22" s="551"/>
      <c r="AN22" s="553"/>
      <c r="AO22" s="553"/>
      <c r="AP22" s="554"/>
      <c r="AQ22" s="554"/>
      <c r="AR22" s="554"/>
      <c r="AS22" s="554"/>
      <c r="AT22" s="554"/>
      <c r="AU22" s="401"/>
      <c r="AV22" s="401"/>
      <c r="AW22" s="401"/>
      <c r="AX22" s="401"/>
      <c r="AY22" s="401"/>
      <c r="AZ22" s="401"/>
      <c r="BA22" s="401"/>
      <c r="BB22" s="401"/>
    </row>
    <row r="23" spans="3:56" ht="12.75" customHeight="1">
      <c r="C23" s="553"/>
      <c r="D23" s="553"/>
      <c r="E23" s="553"/>
      <c r="F23" s="558"/>
      <c r="G23" s="553"/>
      <c r="H23" s="552"/>
      <c r="I23" s="553"/>
      <c r="J23" s="553"/>
      <c r="K23" s="553"/>
      <c r="L23" s="553"/>
      <c r="M23" s="552"/>
      <c r="N23" s="553"/>
      <c r="O23" s="552"/>
      <c r="P23" s="556"/>
      <c r="Q23" s="553"/>
      <c r="R23" s="557"/>
      <c r="S23" s="553"/>
      <c r="T23" s="553"/>
      <c r="U23" s="553"/>
      <c r="V23" s="553"/>
      <c r="W23" s="553"/>
      <c r="X23" s="553"/>
      <c r="Y23" s="553"/>
      <c r="Z23" s="553"/>
      <c r="AA23" s="553"/>
      <c r="AB23" s="552"/>
      <c r="AC23" s="553"/>
      <c r="AD23" s="553"/>
      <c r="AE23" s="553"/>
      <c r="AF23" s="551"/>
      <c r="AG23" s="552"/>
      <c r="AH23" s="553"/>
      <c r="AI23" s="553"/>
      <c r="AJ23" s="553"/>
      <c r="AK23" s="552"/>
      <c r="AL23" s="555"/>
      <c r="AM23" s="551"/>
      <c r="AN23" s="553"/>
      <c r="AO23" s="553"/>
      <c r="AP23" s="554"/>
      <c r="AQ23" s="554"/>
      <c r="AR23" s="554"/>
      <c r="AS23" s="554"/>
      <c r="AT23" s="554"/>
      <c r="AU23" s="401"/>
      <c r="AV23" s="401"/>
      <c r="AW23" s="401"/>
      <c r="AX23" s="401"/>
      <c r="AY23" s="401"/>
      <c r="AZ23" s="401"/>
      <c r="BA23" s="401"/>
      <c r="BB23" s="401"/>
    </row>
    <row r="24" spans="3:56" ht="25.5" customHeight="1">
      <c r="C24" s="553"/>
      <c r="D24" s="553"/>
      <c r="E24" s="553"/>
      <c r="F24" s="558"/>
      <c r="G24" s="553"/>
      <c r="H24" s="552"/>
      <c r="I24" s="553"/>
      <c r="J24" s="553"/>
      <c r="K24" s="553"/>
      <c r="L24" s="553"/>
      <c r="M24" s="552"/>
      <c r="N24" s="553"/>
      <c r="O24" s="552"/>
      <c r="P24" s="556"/>
      <c r="Q24" s="553"/>
      <c r="R24" s="557"/>
      <c r="S24" s="553"/>
      <c r="T24" s="553"/>
      <c r="U24" s="553"/>
      <c r="V24" s="553"/>
      <c r="W24" s="553"/>
      <c r="X24" s="553"/>
      <c r="Y24" s="553"/>
      <c r="Z24" s="553"/>
      <c r="AA24" s="553"/>
      <c r="AB24" s="552"/>
      <c r="AC24" s="553"/>
      <c r="AD24" s="553"/>
      <c r="AE24" s="553"/>
      <c r="AF24" s="551"/>
      <c r="AG24" s="552"/>
      <c r="AH24" s="553"/>
      <c r="AI24" s="553"/>
      <c r="AJ24" s="553"/>
      <c r="AK24" s="552"/>
      <c r="AL24" s="555"/>
      <c r="AM24" s="551"/>
      <c r="AN24" s="553"/>
      <c r="AO24" s="553"/>
      <c r="AP24" s="554"/>
      <c r="AQ24" s="554"/>
      <c r="AR24" s="554"/>
      <c r="AS24" s="554"/>
      <c r="AT24" s="554"/>
      <c r="AU24" s="401"/>
      <c r="AV24" s="401"/>
      <c r="AW24" s="401"/>
      <c r="AX24" s="401"/>
      <c r="AY24" s="401"/>
      <c r="AZ24" s="401"/>
      <c r="BA24" s="401"/>
      <c r="BB24" s="401"/>
    </row>
    <row r="25" spans="3:56" ht="12.75" customHeight="1">
      <c r="C25" s="553"/>
      <c r="D25" s="553"/>
      <c r="E25" s="553"/>
      <c r="F25" s="558"/>
      <c r="G25" s="553"/>
      <c r="H25" s="552"/>
      <c r="I25" s="553"/>
      <c r="J25" s="553"/>
      <c r="K25" s="553"/>
      <c r="L25" s="553"/>
      <c r="M25" s="552"/>
      <c r="N25" s="553"/>
      <c r="O25" s="552"/>
      <c r="P25" s="556"/>
      <c r="Q25" s="553"/>
      <c r="R25" s="557"/>
      <c r="S25" s="553"/>
      <c r="T25" s="553"/>
      <c r="U25" s="553"/>
      <c r="V25" s="553"/>
      <c r="W25" s="553"/>
      <c r="X25" s="553"/>
      <c r="Y25" s="553"/>
      <c r="Z25" s="553"/>
      <c r="AA25" s="553"/>
      <c r="AB25" s="552"/>
      <c r="AC25" s="553"/>
      <c r="AD25" s="553"/>
      <c r="AE25" s="553"/>
      <c r="AF25" s="551"/>
      <c r="AG25" s="552"/>
      <c r="AH25" s="553"/>
      <c r="AI25" s="553"/>
      <c r="AJ25" s="553"/>
      <c r="AK25" s="552"/>
      <c r="AL25" s="555"/>
      <c r="AM25" s="551"/>
      <c r="AN25" s="553"/>
      <c r="AO25" s="553"/>
      <c r="AP25" s="554"/>
      <c r="AQ25" s="554"/>
      <c r="AR25" s="554"/>
      <c r="AS25" s="554"/>
      <c r="AT25" s="554"/>
      <c r="AU25" s="401"/>
      <c r="AV25" s="401"/>
      <c r="AW25" s="401"/>
      <c r="AX25" s="401"/>
      <c r="AY25" s="401"/>
      <c r="AZ25" s="401"/>
      <c r="BA25" s="401"/>
      <c r="BB25" s="401"/>
    </row>
    <row r="26" spans="3:56" ht="12.75" customHeight="1">
      <c r="C26" s="553"/>
      <c r="D26" s="553"/>
      <c r="E26" s="553"/>
      <c r="F26" s="558"/>
      <c r="G26" s="553"/>
      <c r="H26" s="552"/>
      <c r="I26" s="553"/>
      <c r="J26" s="553"/>
      <c r="K26" s="553"/>
      <c r="L26" s="553"/>
      <c r="M26" s="552"/>
      <c r="N26" s="553"/>
      <c r="O26" s="552"/>
      <c r="P26" s="556"/>
      <c r="Q26" s="553"/>
      <c r="R26" s="557"/>
      <c r="S26" s="553"/>
      <c r="T26" s="553"/>
      <c r="U26" s="553"/>
      <c r="V26" s="553"/>
      <c r="W26" s="553"/>
      <c r="X26" s="553"/>
      <c r="Y26" s="553"/>
      <c r="Z26" s="553"/>
      <c r="AA26" s="553"/>
      <c r="AB26" s="552"/>
      <c r="AC26" s="553"/>
      <c r="AD26" s="553"/>
      <c r="AE26" s="553"/>
      <c r="AF26" s="551"/>
      <c r="AG26" s="552"/>
      <c r="AH26" s="553"/>
      <c r="AI26" s="553"/>
      <c r="AJ26" s="553"/>
      <c r="AK26" s="552"/>
      <c r="AL26" s="555"/>
      <c r="AM26" s="551"/>
      <c r="AN26" s="553"/>
      <c r="AO26" s="553"/>
      <c r="AP26" s="554"/>
      <c r="AQ26" s="554"/>
      <c r="AR26" s="554"/>
      <c r="AS26" s="554"/>
      <c r="AT26" s="554"/>
      <c r="AU26" s="401"/>
      <c r="AV26" s="401"/>
      <c r="AW26" s="401"/>
      <c r="AX26" s="401"/>
      <c r="AY26" s="401"/>
      <c r="AZ26" s="401"/>
      <c r="BA26" s="401"/>
      <c r="BB26" s="401"/>
    </row>
    <row r="27" spans="3:56" ht="20.399999999999999">
      <c r="C27" s="344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40"/>
      <c r="AM27" s="340"/>
      <c r="AN27" s="340"/>
      <c r="AO27" s="340"/>
    </row>
    <row r="28" spans="3:56">
      <c r="G28" s="3"/>
    </row>
  </sheetData>
  <mergeCells count="44">
    <mergeCell ref="M19:M26"/>
    <mergeCell ref="C19:C26"/>
    <mergeCell ref="D19:D26"/>
    <mergeCell ref="E19:E26"/>
    <mergeCell ref="H19:H26"/>
    <mergeCell ref="I19:I26"/>
    <mergeCell ref="J19:J26"/>
    <mergeCell ref="K19:K26"/>
    <mergeCell ref="L19:L26"/>
    <mergeCell ref="F19:F26"/>
    <mergeCell ref="Y19:Y26"/>
    <mergeCell ref="N19:N26"/>
    <mergeCell ref="O19:O26"/>
    <mergeCell ref="P19:P26"/>
    <mergeCell ref="Q19:Q26"/>
    <mergeCell ref="R19:R26"/>
    <mergeCell ref="S19:S26"/>
    <mergeCell ref="AT19:AT26"/>
    <mergeCell ref="AJ19:AJ26"/>
    <mergeCell ref="AK19:AK26"/>
    <mergeCell ref="AL19:AL26"/>
    <mergeCell ref="AM19:AM26"/>
    <mergeCell ref="AQ19:AQ26"/>
    <mergeCell ref="AR19:AR26"/>
    <mergeCell ref="AS19:AS26"/>
    <mergeCell ref="AN19:AN26"/>
    <mergeCell ref="AO19:AO26"/>
    <mergeCell ref="AP19:AP26"/>
    <mergeCell ref="AF19:AF26"/>
    <mergeCell ref="AG19:AG26"/>
    <mergeCell ref="AH19:AH26"/>
    <mergeCell ref="AI19:AI26"/>
    <mergeCell ref="G19:G26"/>
    <mergeCell ref="Z19:Z26"/>
    <mergeCell ref="AA19:AA26"/>
    <mergeCell ref="AB19:AB26"/>
    <mergeCell ref="AC19:AC26"/>
    <mergeCell ref="AD19:AD26"/>
    <mergeCell ref="AE19:AE26"/>
    <mergeCell ref="T19:T26"/>
    <mergeCell ref="U19:U26"/>
    <mergeCell ref="V19:V26"/>
    <mergeCell ref="W19:W26"/>
    <mergeCell ref="X19:X26"/>
  </mergeCells>
  <phoneticPr fontId="27" type="noConversion"/>
  <printOptions gridLines="1"/>
  <pageMargins left="0.21" right="0.2" top="1" bottom="1" header="0.5" footer="0.5"/>
  <pageSetup scale="35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69"/>
  <sheetViews>
    <sheetView zoomScale="70" zoomScaleNormal="70" workbookViewId="0">
      <selection activeCell="B1" sqref="B1"/>
    </sheetView>
  </sheetViews>
  <sheetFormatPr defaultColWidth="8.88671875" defaultRowHeight="13.2"/>
  <cols>
    <col min="2" max="2" width="55.5546875" customWidth="1"/>
    <col min="3" max="3" width="9.6640625" customWidth="1"/>
    <col min="4" max="4" width="10" customWidth="1"/>
    <col min="5" max="5" width="11.44140625" customWidth="1"/>
    <col min="6" max="6" width="14" customWidth="1"/>
    <col min="7" max="7" width="14.33203125" customWidth="1"/>
    <col min="8" max="8" width="12.6640625" customWidth="1"/>
    <col min="9" max="9" width="12.44140625" customWidth="1"/>
    <col min="10" max="10" width="11" customWidth="1"/>
  </cols>
  <sheetData>
    <row r="1" spans="1:11" ht="17.399999999999999">
      <c r="B1" s="289" t="s">
        <v>219</v>
      </c>
      <c r="C1" s="8"/>
      <c r="D1" s="6"/>
      <c r="E1" s="9"/>
      <c r="F1" s="319"/>
      <c r="G1" s="33"/>
      <c r="H1" s="6"/>
      <c r="I1" s="6"/>
    </row>
    <row r="2" spans="1:11" s="57" customFormat="1" ht="12.75" customHeight="1">
      <c r="B2" s="33"/>
      <c r="C2" s="33"/>
      <c r="D2" s="33"/>
      <c r="E2" s="156" t="s">
        <v>15</v>
      </c>
      <c r="F2" s="157">
        <f>MIN(E5:E17)</f>
        <v>6.51</v>
      </c>
      <c r="G2" s="33" t="s">
        <v>16</v>
      </c>
      <c r="H2" s="33"/>
      <c r="I2" s="33"/>
      <c r="J2" s="157">
        <f>MAX(J5:J17)</f>
        <v>54</v>
      </c>
    </row>
    <row r="3" spans="1:11">
      <c r="B3" s="170"/>
      <c r="C3" s="388"/>
      <c r="D3" s="12"/>
      <c r="E3" s="158" t="s">
        <v>73</v>
      </c>
      <c r="F3" s="157">
        <f>MAX(E5:E17)</f>
        <v>8.36</v>
      </c>
      <c r="G3" s="188" t="s">
        <v>16</v>
      </c>
      <c r="H3" s="188" t="s">
        <v>181</v>
      </c>
      <c r="J3" s="157">
        <f>MIN(J5:J17)</f>
        <v>40</v>
      </c>
    </row>
    <row r="4" spans="1:11" ht="27" customHeight="1" thickBot="1">
      <c r="B4" s="10"/>
      <c r="C4" s="34" t="s">
        <v>29</v>
      </c>
      <c r="D4" s="34" t="s">
        <v>30</v>
      </c>
      <c r="E4" s="34" t="s">
        <v>36</v>
      </c>
      <c r="F4" s="31" t="s">
        <v>9</v>
      </c>
      <c r="G4" s="5" t="s">
        <v>27</v>
      </c>
      <c r="H4" s="362" t="s">
        <v>165</v>
      </c>
      <c r="I4" s="362" t="s">
        <v>166</v>
      </c>
      <c r="J4" s="363" t="s">
        <v>167</v>
      </c>
      <c r="K4" s="5" t="s">
        <v>27</v>
      </c>
    </row>
    <row r="5" spans="1:11" ht="20.399999999999999">
      <c r="A5" s="340">
        <v>2</v>
      </c>
      <c r="B5" s="340" t="s">
        <v>172</v>
      </c>
      <c r="C5" s="402"/>
      <c r="D5" s="402"/>
      <c r="E5" s="453"/>
      <c r="F5" s="317">
        <v>0</v>
      </c>
      <c r="G5" s="423">
        <f>RANK(F5,$F$5:$F$17)</f>
        <v>10</v>
      </c>
      <c r="H5" s="450"/>
      <c r="I5" s="458"/>
      <c r="J5" s="462"/>
      <c r="K5" s="423"/>
    </row>
    <row r="6" spans="1:11" ht="20.399999999999999">
      <c r="A6" s="340">
        <v>3</v>
      </c>
      <c r="B6" s="340" t="s">
        <v>171</v>
      </c>
      <c r="C6" s="402">
        <v>7.03</v>
      </c>
      <c r="D6" s="402">
        <v>7.87</v>
      </c>
      <c r="E6" s="453">
        <f t="shared" ref="E6:E17" si="0">MIN(C6:D6)</f>
        <v>7.03</v>
      </c>
      <c r="F6" s="317">
        <f>IF(E6&gt;=10,2.5,(-$E$21*E6+$E$22))</f>
        <v>35.945945945945937</v>
      </c>
      <c r="G6" s="423">
        <f>RANK(F6,$F$5:$F$17)</f>
        <v>3</v>
      </c>
      <c r="H6" s="451">
        <v>44</v>
      </c>
      <c r="I6" s="459">
        <v>44</v>
      </c>
      <c r="J6" s="462">
        <f>MAX(H6:I6)</f>
        <v>44</v>
      </c>
      <c r="K6" s="423">
        <f>RANK(J6,$J$5:$J$17)</f>
        <v>6</v>
      </c>
    </row>
    <row r="7" spans="1:11" ht="20.399999999999999">
      <c r="A7" s="340">
        <v>4</v>
      </c>
      <c r="B7" s="340" t="s">
        <v>170</v>
      </c>
      <c r="C7" s="402"/>
      <c r="D7" s="402"/>
      <c r="E7" s="453"/>
      <c r="F7" s="317">
        <v>0</v>
      </c>
      <c r="G7" s="423">
        <f>RANK(F7,$F$5:$F$17)</f>
        <v>10</v>
      </c>
      <c r="H7" s="451"/>
      <c r="I7" s="459"/>
      <c r="J7" s="462"/>
      <c r="K7" s="423"/>
    </row>
    <row r="8" spans="1:11" s="167" customFormat="1" ht="20.399999999999999">
      <c r="A8" s="340">
        <v>5</v>
      </c>
      <c r="B8" s="340" t="s">
        <v>177</v>
      </c>
      <c r="C8" s="402">
        <v>6.51</v>
      </c>
      <c r="D8" s="402"/>
      <c r="E8" s="453">
        <f t="shared" si="0"/>
        <v>6.51</v>
      </c>
      <c r="F8" s="317">
        <f t="shared" ref="F8:F17" si="1">IF(E8&gt;=10,2.5,(-$E$21*E8+$E$22))</f>
        <v>50</v>
      </c>
      <c r="G8" s="423">
        <f t="shared" ref="G8:G14" si="2">RANK(F8,$F$5:$F$17)</f>
        <v>1</v>
      </c>
      <c r="H8" s="451">
        <v>51</v>
      </c>
      <c r="I8" s="460"/>
      <c r="J8" s="462">
        <f>MAX(H8:I8)</f>
        <v>51</v>
      </c>
      <c r="K8" s="423">
        <f>RANK(J8,$J$5:$J$17)</f>
        <v>3</v>
      </c>
    </row>
    <row r="9" spans="1:11" ht="20.399999999999999">
      <c r="A9" s="340">
        <v>6</v>
      </c>
      <c r="B9" s="340" t="s">
        <v>210</v>
      </c>
      <c r="C9" s="402">
        <v>8.77</v>
      </c>
      <c r="D9" s="402">
        <v>8.36</v>
      </c>
      <c r="E9" s="453">
        <f t="shared" si="0"/>
        <v>8.36</v>
      </c>
      <c r="F9" s="317">
        <f t="shared" si="1"/>
        <v>0</v>
      </c>
      <c r="G9" s="423">
        <f t="shared" si="2"/>
        <v>10</v>
      </c>
      <c r="H9" s="451">
        <v>40</v>
      </c>
      <c r="I9" s="459">
        <v>42</v>
      </c>
      <c r="J9" s="462">
        <f>MAX(H9:I9)</f>
        <v>42</v>
      </c>
      <c r="K9" s="423">
        <f>RANK(J9,$J$5:$J$17)</f>
        <v>8</v>
      </c>
    </row>
    <row r="10" spans="1:11" ht="20.399999999999999">
      <c r="A10" s="340">
        <v>7</v>
      </c>
      <c r="B10" s="340" t="s">
        <v>173</v>
      </c>
      <c r="C10" s="402">
        <v>7.27</v>
      </c>
      <c r="D10" s="402">
        <v>7.09</v>
      </c>
      <c r="E10" s="453">
        <f t="shared" si="0"/>
        <v>7.09</v>
      </c>
      <c r="F10" s="317">
        <f t="shared" si="1"/>
        <v>34.324324324324323</v>
      </c>
      <c r="G10" s="423">
        <f t="shared" si="2"/>
        <v>5</v>
      </c>
      <c r="H10" s="451">
        <v>54</v>
      </c>
      <c r="I10" s="459">
        <v>54</v>
      </c>
      <c r="J10" s="462">
        <f t="shared" ref="J10:J12" si="3">MAX(H10:I10)</f>
        <v>54</v>
      </c>
      <c r="K10" s="423">
        <f t="shared" ref="K10:K12" si="4">RANK(J10,$J$5:$J$17)</f>
        <v>1</v>
      </c>
    </row>
    <row r="11" spans="1:11" ht="23.4">
      <c r="A11" s="340">
        <v>8</v>
      </c>
      <c r="B11" s="433" t="s">
        <v>179</v>
      </c>
      <c r="C11" s="402">
        <v>8.08</v>
      </c>
      <c r="D11" s="402">
        <v>7.42</v>
      </c>
      <c r="E11" s="453">
        <f t="shared" si="0"/>
        <v>7.42</v>
      </c>
      <c r="F11" s="317">
        <f t="shared" si="1"/>
        <v>25.405405405405389</v>
      </c>
      <c r="G11" s="423">
        <f t="shared" si="2"/>
        <v>6</v>
      </c>
      <c r="H11" s="451">
        <v>40</v>
      </c>
      <c r="I11" s="459">
        <v>40</v>
      </c>
      <c r="J11" s="462">
        <f t="shared" si="3"/>
        <v>40</v>
      </c>
      <c r="K11" s="423">
        <f t="shared" si="4"/>
        <v>9</v>
      </c>
    </row>
    <row r="12" spans="1:11" ht="20.399999999999999">
      <c r="A12" s="340">
        <v>9</v>
      </c>
      <c r="B12" s="340" t="s">
        <v>178</v>
      </c>
      <c r="C12" s="402">
        <v>10.47</v>
      </c>
      <c r="D12" s="402">
        <v>8.01</v>
      </c>
      <c r="E12" s="453">
        <f t="shared" si="0"/>
        <v>8.01</v>
      </c>
      <c r="F12" s="317">
        <f t="shared" si="1"/>
        <v>9.4594594594594525</v>
      </c>
      <c r="G12" s="423">
        <f t="shared" si="2"/>
        <v>8</v>
      </c>
      <c r="H12" s="451">
        <v>31</v>
      </c>
      <c r="I12" s="459">
        <v>43</v>
      </c>
      <c r="J12" s="462">
        <f t="shared" si="3"/>
        <v>43</v>
      </c>
      <c r="K12" s="423">
        <f t="shared" si="4"/>
        <v>7</v>
      </c>
    </row>
    <row r="13" spans="1:11" ht="20.399999999999999">
      <c r="A13" s="340">
        <v>10</v>
      </c>
      <c r="B13" s="340" t="s">
        <v>180</v>
      </c>
      <c r="C13" s="402">
        <v>7.52</v>
      </c>
      <c r="D13" s="402">
        <v>6.56</v>
      </c>
      <c r="E13" s="453">
        <f t="shared" si="0"/>
        <v>6.56</v>
      </c>
      <c r="F13" s="317">
        <f t="shared" si="1"/>
        <v>48.648648648648646</v>
      </c>
      <c r="G13" s="423">
        <f t="shared" si="2"/>
        <v>2</v>
      </c>
      <c r="H13" s="451">
        <v>41</v>
      </c>
      <c r="I13" s="459">
        <v>48</v>
      </c>
      <c r="J13" s="462">
        <f>MAX(H13:I13)</f>
        <v>48</v>
      </c>
      <c r="K13" s="423">
        <f>RANK(J13,$J$5:$J$17)</f>
        <v>5</v>
      </c>
    </row>
    <row r="14" spans="1:11" s="119" customFormat="1" ht="20.399999999999999">
      <c r="A14" s="340">
        <v>11</v>
      </c>
      <c r="B14" s="340" t="s">
        <v>176</v>
      </c>
      <c r="C14" s="402">
        <v>7.03</v>
      </c>
      <c r="D14" s="402">
        <v>7.03</v>
      </c>
      <c r="E14" s="453">
        <f t="shared" si="0"/>
        <v>7.03</v>
      </c>
      <c r="F14" s="317">
        <f t="shared" si="1"/>
        <v>35.945945945945937</v>
      </c>
      <c r="G14" s="423">
        <f t="shared" si="2"/>
        <v>3</v>
      </c>
      <c r="H14" s="451">
        <v>50</v>
      </c>
      <c r="I14" s="460">
        <v>53</v>
      </c>
      <c r="J14" s="462">
        <f>MAX(H14:I14)</f>
        <v>53</v>
      </c>
      <c r="K14" s="423">
        <f>RANK(J14,$J$5:$J$17)</f>
        <v>2</v>
      </c>
    </row>
    <row r="15" spans="1:11" s="119" customFormat="1" ht="20.399999999999999">
      <c r="A15" s="340">
        <v>12</v>
      </c>
      <c r="B15" s="340" t="s">
        <v>174</v>
      </c>
      <c r="C15" s="402"/>
      <c r="D15" s="402"/>
      <c r="E15" s="453"/>
      <c r="F15" s="317">
        <v>0</v>
      </c>
      <c r="G15" s="423">
        <f t="shared" ref="G15:G17" si="5">RANK(F15,$F$5:$F$17)</f>
        <v>10</v>
      </c>
      <c r="H15" s="451"/>
      <c r="I15" s="460"/>
      <c r="J15" s="462"/>
      <c r="K15" s="423"/>
    </row>
    <row r="16" spans="1:11" s="119" customFormat="1" ht="20.399999999999999">
      <c r="A16" s="340">
        <v>13</v>
      </c>
      <c r="B16" s="340" t="s">
        <v>211</v>
      </c>
      <c r="C16" s="402">
        <v>7.97</v>
      </c>
      <c r="D16" s="402">
        <v>8.16</v>
      </c>
      <c r="E16" s="453">
        <f t="shared" si="0"/>
        <v>7.97</v>
      </c>
      <c r="F16" s="317">
        <f t="shared" si="1"/>
        <v>10.540540540540519</v>
      </c>
      <c r="G16" s="423">
        <f t="shared" si="5"/>
        <v>7</v>
      </c>
      <c r="H16" s="451">
        <v>47</v>
      </c>
      <c r="I16" s="460">
        <v>49</v>
      </c>
      <c r="J16" s="462">
        <f>MAX(H16:I16)</f>
        <v>49</v>
      </c>
      <c r="K16" s="423">
        <f>RANK(J16,$J$5:$J$17)</f>
        <v>4</v>
      </c>
    </row>
    <row r="17" spans="1:11" ht="21" thickBot="1">
      <c r="A17" s="340">
        <v>14</v>
      </c>
      <c r="B17" s="340" t="s">
        <v>175</v>
      </c>
      <c r="C17" s="402">
        <v>8.01</v>
      </c>
      <c r="D17" s="402"/>
      <c r="E17" s="453">
        <f t="shared" si="0"/>
        <v>8.01</v>
      </c>
      <c r="F17" s="317">
        <f t="shared" si="1"/>
        <v>9.4594594594594525</v>
      </c>
      <c r="G17" s="423">
        <f t="shared" si="5"/>
        <v>8</v>
      </c>
      <c r="H17" s="452">
        <v>40</v>
      </c>
      <c r="I17" s="461"/>
      <c r="J17" s="462">
        <f>MAX(H17:I17)</f>
        <v>40</v>
      </c>
      <c r="K17" s="423">
        <f>RANK(J17,$J$5:$J$17)</f>
        <v>9</v>
      </c>
    </row>
    <row r="18" spans="1:11">
      <c r="B18" s="23"/>
      <c r="C18" s="49"/>
      <c r="D18" s="49"/>
      <c r="E18" s="49"/>
      <c r="F18" s="18"/>
      <c r="G18" s="18"/>
      <c r="H18" s="18"/>
      <c r="I18" s="3"/>
    </row>
    <row r="19" spans="1:11">
      <c r="B19" s="23"/>
      <c r="C19" s="49"/>
      <c r="D19" s="116"/>
      <c r="E19" s="49"/>
      <c r="F19" s="18"/>
      <c r="G19" s="18"/>
      <c r="H19" s="18"/>
      <c r="I19" s="3"/>
    </row>
    <row r="20" spans="1:11">
      <c r="B20" s="23"/>
      <c r="C20" s="49"/>
      <c r="D20" s="200" t="s">
        <v>116</v>
      </c>
      <c r="E20" s="49"/>
      <c r="F20" s="18"/>
      <c r="G20" s="18"/>
      <c r="H20" s="18"/>
      <c r="I20" s="3"/>
    </row>
    <row r="21" spans="1:11">
      <c r="B21" s="23"/>
      <c r="C21" s="49"/>
      <c r="D21" s="237" t="s">
        <v>113</v>
      </c>
      <c r="E21" s="235">
        <f>50/(F3-F2)</f>
        <v>27.027027027027032</v>
      </c>
      <c r="F21" s="18"/>
      <c r="G21" s="18"/>
      <c r="H21" s="18"/>
      <c r="I21" s="3"/>
    </row>
    <row r="22" spans="1:11">
      <c r="B22" s="23"/>
      <c r="C22" s="49"/>
      <c r="D22" s="237" t="s">
        <v>114</v>
      </c>
      <c r="E22" s="236">
        <f>E21*F3</f>
        <v>225.94594594594597</v>
      </c>
      <c r="F22" s="18"/>
      <c r="G22" s="18"/>
      <c r="H22" s="18"/>
      <c r="I22" s="3"/>
    </row>
    <row r="23" spans="1:11">
      <c r="B23" s="23"/>
      <c r="D23" s="237" t="s">
        <v>158</v>
      </c>
      <c r="E23" s="49"/>
      <c r="F23" s="18"/>
      <c r="G23" s="18"/>
      <c r="H23" s="18"/>
      <c r="I23" s="3"/>
    </row>
    <row r="24" spans="1:11">
      <c r="B24" s="23"/>
      <c r="C24" s="49"/>
      <c r="D24" s="49"/>
      <c r="E24" s="49"/>
      <c r="F24" s="18"/>
      <c r="G24" s="18"/>
      <c r="H24" s="18"/>
      <c r="I24" s="3"/>
    </row>
    <row r="25" spans="1:11">
      <c r="B25" s="23"/>
      <c r="C25" s="49"/>
      <c r="D25" s="49"/>
      <c r="E25" s="49"/>
      <c r="F25" s="18"/>
      <c r="G25" s="18"/>
      <c r="H25" s="18"/>
      <c r="I25" s="3"/>
    </row>
    <row r="26" spans="1:11">
      <c r="B26" s="23"/>
      <c r="C26" s="49"/>
      <c r="D26" s="49"/>
      <c r="E26" s="49"/>
      <c r="F26" s="18"/>
      <c r="G26" s="18"/>
      <c r="H26" s="18"/>
      <c r="I26" s="3"/>
    </row>
    <row r="27" spans="1:11">
      <c r="B27" s="23"/>
      <c r="C27" s="49"/>
      <c r="D27" s="49"/>
      <c r="E27" s="49"/>
      <c r="F27" s="18"/>
      <c r="G27" s="18"/>
      <c r="H27" s="18"/>
      <c r="I27" s="3"/>
    </row>
    <row r="28" spans="1:11" s="411" customFormat="1" ht="17.399999999999999">
      <c r="B28" s="454" t="s">
        <v>251</v>
      </c>
      <c r="C28" s="455">
        <v>6.2</v>
      </c>
      <c r="D28" s="455">
        <v>6.5</v>
      </c>
      <c r="E28" s="455"/>
      <c r="F28" s="456"/>
      <c r="G28" s="456"/>
      <c r="H28" s="456">
        <v>51</v>
      </c>
      <c r="I28" s="457">
        <v>53</v>
      </c>
    </row>
    <row r="29" spans="1:11">
      <c r="B29" s="23"/>
      <c r="C29" s="49"/>
      <c r="D29" s="49"/>
      <c r="E29" s="49"/>
      <c r="F29" s="18"/>
      <c r="G29" s="18"/>
      <c r="H29" s="18"/>
      <c r="I29" s="6"/>
    </row>
    <row r="30" spans="1:11">
      <c r="B30" s="12"/>
      <c r="C30" s="49"/>
      <c r="D30" s="49"/>
      <c r="E30" s="49"/>
      <c r="F30" s="18"/>
      <c r="G30" s="18"/>
      <c r="H30" s="18"/>
      <c r="I30" s="6"/>
    </row>
    <row r="31" spans="1:11">
      <c r="B31" s="12"/>
      <c r="C31" s="49"/>
      <c r="D31" s="49"/>
      <c r="E31" s="49"/>
      <c r="F31" s="18"/>
      <c r="G31" s="18"/>
      <c r="H31" s="18"/>
      <c r="I31" s="6"/>
    </row>
    <row r="32" spans="1:11">
      <c r="B32" s="12"/>
      <c r="C32" s="49"/>
      <c r="D32" s="49"/>
      <c r="E32" s="49"/>
      <c r="F32" s="18"/>
      <c r="G32" s="18"/>
      <c r="H32" s="18"/>
      <c r="I32" s="6"/>
    </row>
    <row r="33" spans="2:9">
      <c r="B33" s="44"/>
      <c r="C33" s="12"/>
      <c r="D33" s="12"/>
      <c r="E33" s="12"/>
      <c r="F33" s="6"/>
      <c r="G33" s="6"/>
      <c r="H33" s="6"/>
      <c r="I33" s="6"/>
    </row>
    <row r="34" spans="2:9">
      <c r="C34" s="4"/>
      <c r="D34" s="4"/>
      <c r="E34" s="4"/>
    </row>
    <row r="35" spans="2:9">
      <c r="C35" s="4"/>
      <c r="D35" s="4"/>
      <c r="E35" s="4"/>
    </row>
    <row r="36" spans="2:9">
      <c r="C36" s="4"/>
      <c r="D36" s="4"/>
      <c r="E36" s="4"/>
    </row>
    <row r="37" spans="2:9">
      <c r="C37" s="4"/>
      <c r="D37" s="4"/>
      <c r="E37" s="4"/>
    </row>
    <row r="38" spans="2:9">
      <c r="C38" s="4"/>
      <c r="D38" s="4"/>
      <c r="E38" s="4"/>
    </row>
    <row r="39" spans="2:9">
      <c r="C39" s="4"/>
      <c r="D39" s="4"/>
      <c r="E39" s="4"/>
    </row>
    <row r="40" spans="2:9">
      <c r="C40" s="4"/>
      <c r="D40" s="4"/>
      <c r="E40" s="4"/>
    </row>
    <row r="41" spans="2:9">
      <c r="C41" s="4"/>
      <c r="D41" s="4"/>
      <c r="E41" s="4"/>
    </row>
    <row r="42" spans="2:9">
      <c r="C42" s="4"/>
      <c r="D42" s="4"/>
      <c r="E42" s="4"/>
    </row>
    <row r="43" spans="2:9">
      <c r="C43" s="4"/>
      <c r="D43" s="4"/>
      <c r="E43" s="4"/>
    </row>
    <row r="44" spans="2:9">
      <c r="C44" s="4"/>
      <c r="D44" s="4"/>
      <c r="E44" s="4"/>
    </row>
    <row r="45" spans="2:9">
      <c r="C45" s="4"/>
      <c r="D45" s="4"/>
      <c r="E45" s="4"/>
    </row>
    <row r="46" spans="2:9">
      <c r="C46" s="4"/>
      <c r="D46" s="4"/>
      <c r="E46" s="4"/>
    </row>
    <row r="47" spans="2:9">
      <c r="C47" s="4"/>
      <c r="D47" s="4"/>
      <c r="E47" s="4"/>
    </row>
    <row r="48" spans="2:9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</sheetData>
  <phoneticPr fontId="27" type="noConversion"/>
  <printOptions gridLines="1"/>
  <pageMargins left="0.75" right="0.75" top="0.5" bottom="0.5" header="0.5" footer="0.5"/>
  <pageSetup scale="83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Acceleration!Print_Area</vt:lpstr>
      <vt:lpstr>'Fuel Economy-Endurance  '!Print_Area</vt:lpstr>
      <vt:lpstr>'Objective Handling'!Print_Area</vt:lpstr>
      <vt:lpstr>'Totals and Awards'!Print_Area</vt:lpstr>
      <vt:lpstr>'Vehicle Weights'!Print_Area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2019-03-09T23:33:51Z</cp:lastPrinted>
  <dcterms:created xsi:type="dcterms:W3CDTF">2000-03-12T02:15:03Z</dcterms:created>
  <dcterms:modified xsi:type="dcterms:W3CDTF">2019-03-11T17:43:29Z</dcterms:modified>
</cp:coreProperties>
</file>