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2" yWindow="-12" windowWidth="17088" windowHeight="5508" tabRatio="778"/>
  </bookViews>
  <sheets>
    <sheet name="Totals and Awards" sheetId="13" r:id="rId1"/>
    <sheet name="Paper" sheetId="1" r:id="rId2"/>
    <sheet name="Static" sheetId="2" r:id="rId3"/>
    <sheet name="MSRP" sheetId="3" r:id="rId4"/>
    <sheet name="Fuel Economy-Endurance  " sheetId="4" r:id="rId5"/>
    <sheet name="Noise" sheetId="6" r:id="rId6"/>
    <sheet name="Oral" sheetId="5" r:id="rId7"/>
    <sheet name="Acceleration+ Load" sheetId="7" r:id="rId8"/>
    <sheet name="Lab Emissions" sheetId="18" r:id="rId9"/>
    <sheet name="In Service Emissions" sheetId="19" r:id="rId10"/>
    <sheet name="Cold Start" sheetId="10" r:id="rId11"/>
    <sheet name="Drawbar Pull" sheetId="11" r:id="rId12"/>
    <sheet name="Penalties and Bonuses" sheetId="12" r:id="rId13"/>
    <sheet name="Vehicle Weights" sheetId="15" r:id="rId14"/>
  </sheets>
  <definedNames>
    <definedName name="Bmax">'Lab Emissions'!#REF!</definedName>
    <definedName name="Bmin">'Lab Emissions'!#REF!</definedName>
    <definedName name="Emax">'Lab Emissions'!#REF!</definedName>
    <definedName name="Emin">'Lab Emissions'!#REF!</definedName>
    <definedName name="_xlnm.Print_Area" localSheetId="7">'Acceleration+ Load'!$A$1:$I$12</definedName>
    <definedName name="_xlnm.Print_Area" localSheetId="0">'Totals and Awards'!$B$1:$N$38</definedName>
    <definedName name="_xlnm.Print_Area" localSheetId="13">'Vehicle Weights'!$A$4:$F$11</definedName>
  </definedNames>
  <calcPr calcId="125725"/>
</workbook>
</file>

<file path=xl/calcChain.xml><?xml version="1.0" encoding="utf-8"?>
<calcChain xmlns="http://schemas.openxmlformats.org/spreadsheetml/2006/main">
  <c r="I5" i="15"/>
  <c r="I6"/>
  <c r="I7"/>
  <c r="I8"/>
  <c r="I9"/>
  <c r="I10"/>
  <c r="I11"/>
  <c r="I4"/>
  <c r="F11"/>
  <c r="F10"/>
  <c r="F9"/>
  <c r="F8"/>
  <c r="F7"/>
  <c r="F6"/>
  <c r="F5"/>
  <c r="F4"/>
  <c r="I7" i="11"/>
  <c r="I8"/>
  <c r="I9"/>
  <c r="I10"/>
  <c r="I11"/>
  <c r="I13"/>
  <c r="H7"/>
  <c r="H8"/>
  <c r="H9"/>
  <c r="H10"/>
  <c r="H11"/>
  <c r="H12"/>
  <c r="H13"/>
  <c r="H14"/>
  <c r="G2"/>
  <c r="G7"/>
  <c r="G8"/>
  <c r="G9"/>
  <c r="G10"/>
  <c r="G11"/>
  <c r="G13"/>
  <c r="H7" i="19" l="1"/>
  <c r="H8"/>
  <c r="H9"/>
  <c r="H12"/>
  <c r="H6"/>
  <c r="F2"/>
  <c r="F1"/>
  <c r="B17" l="1"/>
  <c r="B18" s="1"/>
  <c r="C7"/>
  <c r="D5" i="10"/>
  <c r="D6"/>
  <c r="D7"/>
  <c r="D8"/>
  <c r="D9"/>
  <c r="D10"/>
  <c r="D11"/>
  <c r="D12"/>
  <c r="D4"/>
  <c r="F5" i="13"/>
  <c r="F6"/>
  <c r="F7"/>
  <c r="F8"/>
  <c r="F9"/>
  <c r="F10"/>
  <c r="F11"/>
  <c r="F12"/>
  <c r="H10" i="4"/>
  <c r="G12"/>
  <c r="G13"/>
  <c r="G17"/>
  <c r="G10"/>
  <c r="F12"/>
  <c r="F13"/>
  <c r="F17"/>
  <c r="E12"/>
  <c r="E13"/>
  <c r="E17"/>
  <c r="C9" i="19" l="1"/>
  <c r="D6" s="1"/>
  <c r="C12"/>
  <c r="C6"/>
  <c r="D9"/>
  <c r="D7"/>
  <c r="N8" i="3"/>
  <c r="N9"/>
  <c r="N10"/>
  <c r="N11"/>
  <c r="N12"/>
  <c r="N13"/>
  <c r="N14"/>
  <c r="N15"/>
  <c r="N7"/>
  <c r="M15"/>
  <c r="F15"/>
  <c r="D12" i="19" l="1"/>
  <c r="L5" i="1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4"/>
  <c r="C12" i="13"/>
  <c r="D34" i="1"/>
  <c r="E34"/>
  <c r="F34"/>
  <c r="G34"/>
  <c r="H34"/>
  <c r="I34"/>
  <c r="J34"/>
  <c r="K34"/>
  <c r="C34"/>
  <c r="K30"/>
  <c r="K31" s="1"/>
  <c r="E18"/>
  <c r="K17"/>
  <c r="J17"/>
  <c r="I17"/>
  <c r="H17"/>
  <c r="J15"/>
  <c r="G15"/>
  <c r="F15"/>
  <c r="E15"/>
  <c r="E14"/>
  <c r="D14"/>
  <c r="C14"/>
  <c r="AZ12" i="5"/>
  <c r="BA12" s="1"/>
  <c r="AY12"/>
  <c r="E5" i="7" l="1"/>
  <c r="E7"/>
  <c r="E8"/>
  <c r="E9"/>
  <c r="E10"/>
  <c r="E12"/>
  <c r="Q5" i="18"/>
  <c r="Q6"/>
  <c r="Q7"/>
  <c r="Q9"/>
  <c r="Q10"/>
  <c r="Q11"/>
  <c r="Q4"/>
  <c r="F2" i="7" l="1"/>
  <c r="F3"/>
  <c r="F36" i="13"/>
  <c r="C36"/>
  <c r="H5"/>
  <c r="H6"/>
  <c r="H7"/>
  <c r="H8"/>
  <c r="H9"/>
  <c r="H10"/>
  <c r="H11"/>
  <c r="H12"/>
  <c r="I6" i="6"/>
  <c r="I7"/>
  <c r="I8"/>
  <c r="I9"/>
  <c r="I10"/>
  <c r="I11"/>
  <c r="I12"/>
  <c r="I13"/>
  <c r="I5"/>
  <c r="H6"/>
  <c r="H7"/>
  <c r="H9"/>
  <c r="H10"/>
  <c r="H11"/>
  <c r="H12"/>
  <c r="D6"/>
  <c r="D7"/>
  <c r="D9"/>
  <c r="D10"/>
  <c r="D11"/>
  <c r="D12"/>
  <c r="D12" i="13" l="1"/>
  <c r="E12"/>
  <c r="G12"/>
  <c r="J12"/>
  <c r="K12"/>
  <c r="L12"/>
  <c r="M12"/>
  <c r="N12"/>
  <c r="N10"/>
  <c r="N11"/>
  <c r="AY5" i="5" l="1"/>
  <c r="AY6"/>
  <c r="AY7"/>
  <c r="AY8"/>
  <c r="AY9"/>
  <c r="AY10"/>
  <c r="AY11"/>
  <c r="AY4"/>
  <c r="D5" i="13" l="1"/>
  <c r="D6"/>
  <c r="D7"/>
  <c r="D8"/>
  <c r="D9"/>
  <c r="D10"/>
  <c r="D11"/>
  <c r="D30" i="1"/>
  <c r="E30"/>
  <c r="F30"/>
  <c r="F31" s="1"/>
  <c r="G30"/>
  <c r="H30"/>
  <c r="I30"/>
  <c r="I31" s="1"/>
  <c r="J30"/>
  <c r="J31" s="1"/>
  <c r="C30"/>
  <c r="C31" s="1"/>
  <c r="D31"/>
  <c r="E31"/>
  <c r="G31"/>
  <c r="H31"/>
  <c r="K8" i="13" l="1"/>
  <c r="K9"/>
  <c r="K10"/>
  <c r="L11" l="1"/>
  <c r="L10"/>
  <c r="J5" l="1"/>
  <c r="J6"/>
  <c r="J7"/>
  <c r="J8"/>
  <c r="J9"/>
  <c r="J10"/>
  <c r="J11"/>
  <c r="J4"/>
  <c r="F3" i="4"/>
  <c r="F2"/>
  <c r="E10"/>
  <c r="C10" i="13"/>
  <c r="C11"/>
  <c r="AZ11" i="5"/>
  <c r="G11" i="13" s="1"/>
  <c r="AZ10" i="5"/>
  <c r="G10" i="13" s="1"/>
  <c r="F15" i="6" l="1"/>
  <c r="G6" i="11"/>
  <c r="M7" i="13" l="1"/>
  <c r="M9"/>
  <c r="M10"/>
  <c r="M11"/>
  <c r="G2" i="15"/>
  <c r="G1"/>
  <c r="K9" i="12"/>
  <c r="K8"/>
  <c r="K7"/>
  <c r="K6"/>
  <c r="K5"/>
  <c r="K4"/>
  <c r="H6" i="11" l="1"/>
  <c r="G3" l="1"/>
  <c r="L9" i="13"/>
  <c r="L8"/>
  <c r="G17" i="11" l="1"/>
  <c r="G18"/>
  <c r="I6"/>
  <c r="J8" l="1"/>
  <c r="J9"/>
  <c r="J6"/>
  <c r="J13"/>
  <c r="J10"/>
  <c r="J7"/>
  <c r="J11"/>
  <c r="M8" i="13"/>
  <c r="M6"/>
  <c r="M5"/>
  <c r="J2" i="19"/>
  <c r="J1"/>
  <c r="F17" l="1"/>
  <c r="F18" l="1"/>
  <c r="C24" i="6"/>
  <c r="C25" s="1"/>
  <c r="C26" s="1"/>
  <c r="D5"/>
  <c r="I7" i="19" l="1"/>
  <c r="K7" s="1"/>
  <c r="K5" i="13" s="1"/>
  <c r="K8" i="19"/>
  <c r="K6" i="13" s="1"/>
  <c r="I6" i="19"/>
  <c r="I12"/>
  <c r="I9"/>
  <c r="D24" i="6"/>
  <c r="D26"/>
  <c r="C27"/>
  <c r="C28" s="1"/>
  <c r="D23"/>
  <c r="D25"/>
  <c r="F16"/>
  <c r="J12" i="19" l="1"/>
  <c r="K12"/>
  <c r="K11" i="13" s="1"/>
  <c r="J9" i="19"/>
  <c r="K9"/>
  <c r="K7" i="13" s="1"/>
  <c r="J6" i="19"/>
  <c r="K6"/>
  <c r="K4" i="13" s="1"/>
  <c r="J7" i="19"/>
  <c r="G12" i="6"/>
  <c r="G11"/>
  <c r="D27"/>
  <c r="D28"/>
  <c r="C29"/>
  <c r="F17"/>
  <c r="G6" s="1"/>
  <c r="C23" i="3"/>
  <c r="C22"/>
  <c r="A5" i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G10" i="6" l="1"/>
  <c r="G7"/>
  <c r="G9"/>
  <c r="C30"/>
  <c r="D29"/>
  <c r="N9" i="13"/>
  <c r="C9"/>
  <c r="N8"/>
  <c r="L7"/>
  <c r="C8" l="1"/>
  <c r="D30" i="6"/>
  <c r="C31"/>
  <c r="L6" i="13"/>
  <c r="C7" l="1"/>
  <c r="C32" i="6"/>
  <c r="D31"/>
  <c r="L5" i="13"/>
  <c r="C6" l="1"/>
  <c r="C33" i="6"/>
  <c r="D32"/>
  <c r="N4" i="13"/>
  <c r="M4" s="1"/>
  <c r="L4"/>
  <c r="D4"/>
  <c r="C5" l="1"/>
  <c r="C34" i="6"/>
  <c r="D33"/>
  <c r="C4" i="13" l="1"/>
  <c r="C35" i="6"/>
  <c r="D34"/>
  <c r="N5" i="13"/>
  <c r="N6"/>
  <c r="N7"/>
  <c r="C36" i="6" l="1"/>
  <c r="D35"/>
  <c r="G5"/>
  <c r="H5" s="1"/>
  <c r="C37" l="1"/>
  <c r="D36"/>
  <c r="H4" i="13"/>
  <c r="C38" i="6" l="1"/>
  <c r="D37"/>
  <c r="C39" l="1"/>
  <c r="D39" s="1"/>
  <c r="D38"/>
  <c r="AZ8" i="5" l="1"/>
  <c r="G8" i="13" s="1"/>
  <c r="AZ7" i="5"/>
  <c r="G7" i="13" s="1"/>
  <c r="AZ4" i="5"/>
  <c r="G4" i="13" s="1"/>
  <c r="AZ5" i="5"/>
  <c r="AZ9"/>
  <c r="AZ6"/>
  <c r="G6" i="13" s="1"/>
  <c r="BA8" i="5" l="1"/>
  <c r="BA4"/>
  <c r="BA10"/>
  <c r="BA7"/>
  <c r="BA11"/>
  <c r="BA5"/>
  <c r="BA9"/>
  <c r="BA6"/>
  <c r="G9" i="13"/>
  <c r="G5"/>
  <c r="F6" i="4" l="1"/>
  <c r="F7" l="1"/>
  <c r="F10" l="1"/>
  <c r="F4" i="13" l="1"/>
  <c r="C20" i="3" l="1"/>
  <c r="C21" l="1"/>
  <c r="F10" s="1"/>
  <c r="M10" s="1"/>
  <c r="E7" i="13" l="1"/>
  <c r="F11" i="3"/>
  <c r="M11" s="1"/>
  <c r="F12"/>
  <c r="M12" s="1"/>
  <c r="F8"/>
  <c r="M8" s="1"/>
  <c r="F7"/>
  <c r="M7" s="1"/>
  <c r="F13"/>
  <c r="M13" s="1"/>
  <c r="F9"/>
  <c r="M9" s="1"/>
  <c r="F14"/>
  <c r="M14" s="1"/>
  <c r="E16" i="7"/>
  <c r="E11" i="13" l="1"/>
  <c r="E5"/>
  <c r="E4"/>
  <c r="E10"/>
  <c r="E8"/>
  <c r="E6"/>
  <c r="E9"/>
  <c r="E17" i="7"/>
  <c r="F5" s="1"/>
  <c r="F10" l="1"/>
  <c r="I9" i="13" s="1"/>
  <c r="O9" s="1"/>
  <c r="F8" i="7"/>
  <c r="F12"/>
  <c r="F9"/>
  <c r="F7"/>
  <c r="I6" i="13" s="1"/>
  <c r="I4"/>
  <c r="G17" s="1"/>
  <c r="G19" l="1"/>
  <c r="O6"/>
  <c r="G6" i="7"/>
  <c r="O4" i="13"/>
  <c r="G7" i="7"/>
  <c r="G12"/>
  <c r="G11"/>
  <c r="G13"/>
  <c r="I12" i="13"/>
  <c r="G10" i="7"/>
  <c r="G9"/>
  <c r="G8"/>
  <c r="G5"/>
  <c r="I11" i="13"/>
  <c r="O11" s="1"/>
  <c r="I10"/>
  <c r="O10" s="1"/>
  <c r="I8"/>
  <c r="O8" s="1"/>
  <c r="D22"/>
  <c r="G22"/>
  <c r="I7"/>
  <c r="O7" s="1"/>
  <c r="I5"/>
  <c r="O5" s="1"/>
  <c r="O12" l="1"/>
  <c r="G25"/>
  <c r="G23"/>
  <c r="D24"/>
  <c r="G24"/>
  <c r="G21"/>
  <c r="D18"/>
  <c r="G18"/>
  <c r="G20"/>
  <c r="D20"/>
</calcChain>
</file>

<file path=xl/sharedStrings.xml><?xml version="1.0" encoding="utf-8"?>
<sst xmlns="http://schemas.openxmlformats.org/spreadsheetml/2006/main" count="515" uniqueCount="230">
  <si>
    <t xml:space="preserve">Gmax = </t>
  </si>
  <si>
    <t>Gmin =</t>
  </si>
  <si>
    <t>Emissions</t>
  </si>
  <si>
    <t>Oral</t>
  </si>
  <si>
    <t>Static</t>
  </si>
  <si>
    <t>Paper</t>
  </si>
  <si>
    <t>Late Paper</t>
  </si>
  <si>
    <t>Safety Violation</t>
  </si>
  <si>
    <t>POINTS</t>
  </si>
  <si>
    <t>Fuel Economy (MPG)</t>
  </si>
  <si>
    <t>gallons</t>
  </si>
  <si>
    <t>miles</t>
  </si>
  <si>
    <t>Distance=</t>
  </si>
  <si>
    <t>SCORE</t>
  </si>
  <si>
    <t>Tmin=</t>
  </si>
  <si>
    <t>sec</t>
  </si>
  <si>
    <t>Result (PASS/FAIL)</t>
  </si>
  <si>
    <t>Best</t>
  </si>
  <si>
    <t>Points</t>
  </si>
  <si>
    <t>Design</t>
  </si>
  <si>
    <t>TOTAL</t>
  </si>
  <si>
    <t>RANK</t>
  </si>
  <si>
    <t>FINAL</t>
  </si>
  <si>
    <t>Ordinal</t>
  </si>
  <si>
    <t>(Max gallons used of finishing teams)</t>
  </si>
  <si>
    <t>(Min gallons used of finishing teams)</t>
  </si>
  <si>
    <t>(Course distance)</t>
  </si>
  <si>
    <t>Run1 Time (s)</t>
  </si>
  <si>
    <t>Run2 Time (s)</t>
  </si>
  <si>
    <t>Noise</t>
  </si>
  <si>
    <t>Acceleration</t>
  </si>
  <si>
    <t>Best Time (s)</t>
  </si>
  <si>
    <t>Late Oral</t>
  </si>
  <si>
    <t>Fuel</t>
  </si>
  <si>
    <t>Economy</t>
  </si>
  <si>
    <t>Cold</t>
  </si>
  <si>
    <t>Start</t>
  </si>
  <si>
    <t xml:space="preserve"> </t>
  </si>
  <si>
    <t>Display</t>
  </si>
  <si>
    <t>Comments</t>
  </si>
  <si>
    <t>Actual
Gallons
Consumed</t>
  </si>
  <si>
    <t>Score</t>
  </si>
  <si>
    <t>Late Design 
Write-up/Fuel Selection</t>
  </si>
  <si>
    <t>Front Left</t>
  </si>
  <si>
    <t>Front Right</t>
  </si>
  <si>
    <t>Rear</t>
  </si>
  <si>
    <t>Wmin=</t>
  </si>
  <si>
    <t>Wmax=</t>
  </si>
  <si>
    <t>pounds</t>
  </si>
  <si>
    <t>Total</t>
  </si>
  <si>
    <t>Late MSRP</t>
  </si>
  <si>
    <t>Bonus for No Maintenance</t>
  </si>
  <si>
    <t>Maintenance
or
Design</t>
  </si>
  <si>
    <t>Bonuses</t>
  </si>
  <si>
    <t>Penalties/</t>
  </si>
  <si>
    <t>Miles
 Completed</t>
  </si>
  <si>
    <t>MSRP</t>
  </si>
  <si>
    <t>Average</t>
  </si>
  <si>
    <t>Subjective Points</t>
  </si>
  <si>
    <t>Total Noise</t>
  </si>
  <si>
    <t>Min=</t>
  </si>
  <si>
    <t xml:space="preserve"> Rank</t>
  </si>
  <si>
    <t>Tmax=</t>
  </si>
  <si>
    <t xml:space="preserve">  </t>
  </si>
  <si>
    <t>Lab Emissions</t>
  </si>
  <si>
    <t>In Service</t>
  </si>
  <si>
    <t>Inspection
 Penalty</t>
  </si>
  <si>
    <t>Ranking</t>
  </si>
  <si>
    <t>CSC Points</t>
  </si>
  <si>
    <t>FINAL EMISSIONS (grams/mile)</t>
  </si>
  <si>
    <t>BSFC +</t>
  </si>
  <si>
    <t>Fuel Economy +</t>
  </si>
  <si>
    <t>Completed 5 Modes</t>
  </si>
  <si>
    <t>Lab Emission Test</t>
  </si>
  <si>
    <t>Lab Emission Points</t>
  </si>
  <si>
    <t>Weighted BSFC</t>
  </si>
  <si>
    <t>Teams exceeding 130 HP during the Power Sweep will not be allowed to continue</t>
  </si>
  <si>
    <t>Min Emissions</t>
  </si>
  <si>
    <t>Max Emission</t>
  </si>
  <si>
    <t>Min Fuel Economy</t>
  </si>
  <si>
    <t>Max Fuel Economy</t>
  </si>
  <si>
    <t>BSFC Points</t>
  </si>
  <si>
    <t>Justifying starting point for sled</t>
  </si>
  <si>
    <t>Justifying reason for component adds</t>
  </si>
  <si>
    <t>Quality of research in determining price</t>
  </si>
  <si>
    <t>Team</t>
  </si>
  <si>
    <t>(information only)</t>
  </si>
  <si>
    <t>on</t>
  </si>
  <si>
    <t>Test
Miles</t>
  </si>
  <si>
    <t>Comment</t>
  </si>
  <si>
    <t>"y=mx+B'</t>
  </si>
  <si>
    <t>Y=score</t>
  </si>
  <si>
    <t>X=cost</t>
  </si>
  <si>
    <t>M=slope</t>
  </si>
  <si>
    <t>B=Y intercept at X=0</t>
  </si>
  <si>
    <t>Max=</t>
  </si>
  <si>
    <t>Max score points=</t>
  </si>
  <si>
    <t>Y=mx+b</t>
  </si>
  <si>
    <t>m=</t>
  </si>
  <si>
    <t>b=</t>
  </si>
  <si>
    <t>Linear curve</t>
  </si>
  <si>
    <t>y=mx+b</t>
  </si>
  <si>
    <t>Linear POINTS</t>
  </si>
  <si>
    <t>Linear Ranking on Price</t>
  </si>
  <si>
    <t>These scores are subjective from the judges for the respective categories.</t>
  </si>
  <si>
    <t>20 Points are given on a linear scale from low to high.</t>
  </si>
  <si>
    <t>Total Score</t>
  </si>
  <si>
    <t>Minimum score is 2.5 if they turn in an MSRP.</t>
  </si>
  <si>
    <t>Minimum score is 50 points if they show up and stay until allowed to leave.</t>
  </si>
  <si>
    <t>Notes</t>
  </si>
  <si>
    <t>Slope</t>
  </si>
  <si>
    <t>Minimum  rank</t>
  </si>
  <si>
    <t>Intercept</t>
  </si>
  <si>
    <t>Maximum rank</t>
  </si>
  <si>
    <t>or whatever the minumum is</t>
  </si>
  <si>
    <t>Minimum score is 5 points as long as a report is submitted.</t>
  </si>
  <si>
    <t>Fuel Economy</t>
  </si>
  <si>
    <t>Minimum team J192 Sound Pressure Level =</t>
  </si>
  <si>
    <t>Sound Pressure</t>
  </si>
  <si>
    <t>Control Sled J192 Sound Pressure Level</t>
  </si>
  <si>
    <t>Sample result: -3dB in sound pressure = ~half the max score</t>
  </si>
  <si>
    <t>Lowest SPL gets 150 points</t>
  </si>
  <si>
    <t>SPL equal to or greater than control sled gets 7.5 points</t>
  </si>
  <si>
    <t># of papers</t>
  </si>
  <si>
    <t>CO+NO+THC
g/mile</t>
  </si>
  <si>
    <t>m</t>
  </si>
  <si>
    <t>b</t>
  </si>
  <si>
    <t>Endurance</t>
  </si>
  <si>
    <t>Rank</t>
  </si>
  <si>
    <t>Fuel consumed (gallons)</t>
  </si>
  <si>
    <t>Design Paper
Judge</t>
  </si>
  <si>
    <t>Judge</t>
  </si>
  <si>
    <t>Control Sled J1161 Noise Level Dba</t>
  </si>
  <si>
    <t>J1161 Level</t>
  </si>
  <si>
    <t>lbs</t>
  </si>
  <si>
    <t>min points:</t>
  </si>
  <si>
    <t>max points:</t>
  </si>
  <si>
    <t xml:space="preserve">Drawbar </t>
  </si>
  <si>
    <t>Pull</t>
  </si>
  <si>
    <t>Pull #1</t>
  </si>
  <si>
    <t>Pull #2</t>
  </si>
  <si>
    <t>Pull #3</t>
  </si>
  <si>
    <t>Pull #4</t>
  </si>
  <si>
    <t>Max</t>
  </si>
  <si>
    <t>diesel</t>
  </si>
  <si>
    <t>Min</t>
  </si>
  <si>
    <t>Sums</t>
  </si>
  <si>
    <t>Ecole De Technologie Superieure</t>
  </si>
  <si>
    <t>SUNY - Buffalo</t>
  </si>
  <si>
    <t>Univ of Wisconsin - Platteville</t>
  </si>
  <si>
    <t>North Dakota State Univ</t>
  </si>
  <si>
    <t>Kettering Univ</t>
  </si>
  <si>
    <t>Clarkson University</t>
  </si>
  <si>
    <t>South Dakota School of Mines &amp; Tech</t>
  </si>
  <si>
    <t>DNC</t>
  </si>
  <si>
    <t>LAB EMISSION TEST - SCORING SUMMARY</t>
  </si>
  <si>
    <t>Name</t>
  </si>
  <si>
    <t>Maximum Horsepower &lt; 130</t>
  </si>
  <si>
    <t>CO &lt; 275</t>
  </si>
  <si>
    <t>HC + Nox &lt; 90</t>
  </si>
  <si>
    <t>E Score &gt; 175</t>
  </si>
  <si>
    <t>Soot &lt; 50</t>
  </si>
  <si>
    <t>Passing E Scores</t>
  </si>
  <si>
    <t>MinEScore</t>
  </si>
  <si>
    <t>MaxEScore</t>
  </si>
  <si>
    <t>MinBSFC</t>
  </si>
  <si>
    <t>MaxBSFC</t>
  </si>
  <si>
    <t>Must PASS "Lab Emissions Test" to score "Lab Emission Points"</t>
  </si>
  <si>
    <t>Must PASS "Completed 5 Modes" to score "BSFC points", but do not have to PASS the "Lab Emission Test"</t>
  </si>
  <si>
    <t>Lab EmissionRanking</t>
  </si>
  <si>
    <t>Not Eligible</t>
  </si>
  <si>
    <t>Lowest "In Service" Emissions (Sensors)</t>
  </si>
  <si>
    <t>Best Fuel Economy Winner (Gage)</t>
  </si>
  <si>
    <t>Quietest Snowmobile Winner (PCB) 
Camso Trac for 2019</t>
  </si>
  <si>
    <r>
      <t>Innovation (DENSO)</t>
    </r>
    <r>
      <rPr>
        <b/>
        <sz val="12"/>
        <color rgb="FF00B050"/>
        <rFont val="Arial"/>
        <family val="2"/>
      </rPr>
      <t xml:space="preserve"> $500</t>
    </r>
  </si>
  <si>
    <r>
      <t xml:space="preserve">Most Innovative Emissions Design (Faurecia) </t>
    </r>
    <r>
      <rPr>
        <b/>
        <sz val="12"/>
        <color rgb="FF00B050"/>
        <rFont val="Arial"/>
        <family val="2"/>
      </rPr>
      <t>$1,000</t>
    </r>
  </si>
  <si>
    <r>
      <t xml:space="preserve">Second Place Winner Overall (Cummins) </t>
    </r>
    <r>
      <rPr>
        <b/>
        <sz val="12"/>
        <color rgb="FF00B050"/>
        <rFont val="Arial"/>
        <family val="2"/>
      </rPr>
      <t>$750</t>
    </r>
  </si>
  <si>
    <r>
      <t xml:space="preserve">First Place Winner Overall (Oshkosh) </t>
    </r>
    <r>
      <rPr>
        <b/>
        <sz val="12"/>
        <color rgb="FF00B050"/>
        <rFont val="Arial"/>
        <family val="2"/>
      </rPr>
      <t>$1,000</t>
    </r>
    <r>
      <rPr>
        <b/>
        <sz val="12"/>
        <rFont val="Arial"/>
        <family val="2"/>
      </rPr>
      <t xml:space="preserve"> 
</t>
    </r>
  </si>
  <si>
    <t>CAN -DO E-Controls award (E Controls) $1,000 value products</t>
  </si>
  <si>
    <t>Draw Bar Pull (KRC)</t>
  </si>
  <si>
    <t>Best Lab Emissions Winner (AVL)</t>
  </si>
  <si>
    <t xml:space="preserve">Best Design Winner (Cummins) </t>
  </si>
  <si>
    <t>Michigan Tech Univ</t>
  </si>
  <si>
    <t>Indiana Univ Purdue Univ Indianapolis</t>
  </si>
  <si>
    <t>SAE CSC 2019 Design Paper DUC Class</t>
  </si>
  <si>
    <t>SAE CSC 2019 Static Display Results</t>
  </si>
  <si>
    <t>SAE CSC 2019 DUC Vehicle Weights</t>
  </si>
  <si>
    <t>SAE CSC 2019 Penalties</t>
  </si>
  <si>
    <t>SAE CSC 2019 Draw Bar Pull - Event Coordinator - Mark Osborne</t>
  </si>
  <si>
    <t>SAE CSC 2019 Cold Start Results - Milwaukee Tool</t>
  </si>
  <si>
    <t>SAE CSC 2019 In Service Emission Testing Results</t>
  </si>
  <si>
    <t>SAE CSC 2019 Acceleration + Load Results Brendan Bungert - Polaris</t>
  </si>
  <si>
    <t>SAE CSC 2019 Oral Presentation Results</t>
  </si>
  <si>
    <t>SAE CSC 2019 DUC Engine Noise Testing</t>
  </si>
  <si>
    <t>SAE CSC 2019 Fuel Economy/Endurance Results</t>
  </si>
  <si>
    <t>SAE CSC 2019 MSRP Results</t>
  </si>
  <si>
    <t>A negative entry is a penalty.
A postive number is a bonus.</t>
  </si>
  <si>
    <t>Failure to disclose chassis modification by January 1, 2019.
No anaysis comparing to stock integrity</t>
  </si>
  <si>
    <t>Failure to disclose chassis modification by January 1, 2019.
No anaysis comparing to stock integrity, 
Failure to select a utility snowmobile for a CI design class.</t>
  </si>
  <si>
    <t>Late for inspection</t>
  </si>
  <si>
    <t>Failure to disclose chassis modification by January 1, 2019. Later for inspection.</t>
  </si>
  <si>
    <t>Late for inspection.</t>
  </si>
  <si>
    <t>DNF</t>
  </si>
  <si>
    <t>None</t>
  </si>
  <si>
    <t>No control sled control sled for diesels</t>
  </si>
  <si>
    <t>#101 UW Plattville</t>
  </si>
  <si>
    <t>PASS</t>
  </si>
  <si>
    <t>FAIL</t>
  </si>
  <si>
    <t>#102 Kettering</t>
  </si>
  <si>
    <t>#103 ETS</t>
  </si>
  <si>
    <t>#104 Buffalo</t>
  </si>
  <si>
    <t>#106 Clarkson</t>
  </si>
  <si>
    <t>**</t>
  </si>
  <si>
    <t>#107 South Dakota</t>
  </si>
  <si>
    <t>#108 North Dakota</t>
  </si>
  <si>
    <t>#111 Michigan Tech</t>
  </si>
  <si>
    <t>#112 IUPUI</t>
  </si>
  <si>
    <t>-</t>
  </si>
  <si>
    <t>g/kw-hr</t>
  </si>
  <si>
    <t>Oil leak</t>
  </si>
  <si>
    <t>Did not pass inspection</t>
  </si>
  <si>
    <r>
      <t xml:space="preserve">Third Place Winner Overall </t>
    </r>
    <r>
      <rPr>
        <b/>
        <sz val="12"/>
        <color rgb="FF00B050"/>
        <rFont val="Arial"/>
        <family val="2"/>
      </rPr>
      <t>$500</t>
    </r>
  </si>
  <si>
    <t>UW Platteville</t>
  </si>
  <si>
    <t>Fuel Type B9</t>
  </si>
  <si>
    <t>Fuel B Zero Off Road Diesel</t>
  </si>
  <si>
    <t>Not eligible to win top three prize because did not pass emissions</t>
  </si>
  <si>
    <t>Not eligible to win top three prize because did not pass noise</t>
  </si>
  <si>
    <t>This was a courtesy run because they did not pass tech inspection Monday night and In-Service event had closed Tuesday.</t>
  </si>
  <si>
    <t>No light while running in Endurance</t>
  </si>
  <si>
    <t>SAE CSC 2019 Final Score CI Diesel Utility Class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</si>
</sst>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"/>
    <numFmt numFmtId="167" formatCode="0.0%"/>
    <numFmt numFmtId="168" formatCode="0.000000"/>
    <numFmt numFmtId="169" formatCode="0.0000"/>
  </numFmts>
  <fonts count="6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b/>
      <i/>
      <sz val="14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36"/>
      <color indexed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996666"/>
      <name val="Arial"/>
      <family val="2"/>
    </font>
    <font>
      <sz val="14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name val="Arial"/>
      <family val="2"/>
    </font>
    <font>
      <sz val="12"/>
      <color theme="1"/>
      <name val="Arial"/>
      <family val="2"/>
    </font>
    <font>
      <sz val="14"/>
      <name val="Calibri"/>
      <family val="2"/>
      <scheme val="minor"/>
    </font>
    <font>
      <b/>
      <sz val="10"/>
      <color rgb="FF00B05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2"/>
      <color rgb="FF00B050"/>
      <name val="Arial"/>
      <family val="2"/>
    </font>
    <font>
      <sz val="16"/>
      <color rgb="FF000000"/>
      <name val="Calibri"/>
      <family val="2"/>
    </font>
    <font>
      <sz val="18"/>
      <color rgb="FF000000"/>
      <name val="Calibri"/>
      <family val="2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b/>
      <sz val="12"/>
      <color rgb="FFFF0000"/>
      <name val="Arial"/>
      <family val="2"/>
    </font>
    <font>
      <sz val="11"/>
      <color rgb="FFFF0000"/>
      <name val="Calibri"/>
      <family val="2"/>
    </font>
    <font>
      <sz val="12"/>
      <name val="Calibri"/>
      <family val="2"/>
    </font>
    <font>
      <sz val="16"/>
      <name val="Calibri"/>
      <family val="2"/>
    </font>
    <font>
      <sz val="18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28" fillId="2" borderId="0" applyNumberFormat="0" applyBorder="0" applyAlignment="0" applyProtection="0"/>
    <xf numFmtId="44" fontId="29" fillId="0" borderId="0" applyFont="0" applyFill="0" applyBorder="0" applyAlignment="0" applyProtection="0"/>
    <xf numFmtId="0" fontId="4" fillId="0" borderId="0"/>
    <xf numFmtId="0" fontId="5" fillId="0" borderId="0"/>
    <xf numFmtId="0" fontId="43" fillId="0" borderId="0" applyNumberFormat="0" applyFill="0" applyBorder="0" applyAlignment="0" applyProtection="0"/>
    <xf numFmtId="0" fontId="3" fillId="0" borderId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5">
    <xf numFmtId="0" fontId="0" fillId="0" borderId="0" xfId="0"/>
    <xf numFmtId="0" fontId="0" fillId="0" borderId="0" xfId="0" applyBorder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6" fillId="0" borderId="0" xfId="0" applyFont="1" applyAlignment="1" applyProtection="1">
      <alignment horizontal="center"/>
    </xf>
    <xf numFmtId="0" fontId="0" fillId="0" borderId="0" xfId="0" applyProtection="1"/>
    <xf numFmtId="0" fontId="11" fillId="0" borderId="0" xfId="0" applyFont="1" applyProtection="1"/>
    <xf numFmtId="0" fontId="7" fillId="0" borderId="0" xfId="0" applyFont="1" applyProtection="1"/>
    <xf numFmtId="0" fontId="0" fillId="0" borderId="0" xfId="0" applyAlignment="1" applyProtection="1">
      <alignment horizontal="right"/>
    </xf>
    <xf numFmtId="0" fontId="6" fillId="0" borderId="0" xfId="0" applyFont="1" applyProtection="1"/>
    <xf numFmtId="0" fontId="6" fillId="0" borderId="0" xfId="0" applyFont="1" applyFill="1" applyBorder="1" applyProtection="1"/>
    <xf numFmtId="0" fontId="0" fillId="0" borderId="0" xfId="0" applyFill="1" applyBorder="1" applyProtection="1"/>
    <xf numFmtId="0" fontId="6" fillId="0" borderId="0" xfId="0" applyFont="1" applyAlignment="1" applyProtection="1">
      <alignment horizontal="right"/>
    </xf>
    <xf numFmtId="0" fontId="6" fillId="0" borderId="0" xfId="0" applyFont="1" applyFill="1" applyBorder="1" applyAlignment="1" applyProtection="1">
      <alignment horizontal="right"/>
    </xf>
    <xf numFmtId="0" fontId="9" fillId="0" borderId="0" xfId="0" applyFont="1" applyFill="1" applyBorder="1" applyProtection="1"/>
    <xf numFmtId="1" fontId="6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0" fillId="0" borderId="0" xfId="0" applyFont="1" applyProtection="1"/>
    <xf numFmtId="0" fontId="10" fillId="0" borderId="0" xfId="0" applyFont="1" applyFill="1" applyBorder="1"/>
    <xf numFmtId="0" fontId="9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1" fontId="6" fillId="0" borderId="0" xfId="0" applyNumberFormat="1" applyFont="1" applyAlignment="1" applyProtection="1">
      <alignment horizontal="right"/>
    </xf>
    <xf numFmtId="0" fontId="10" fillId="0" borderId="0" xfId="0" applyFont="1" applyAlignment="1" applyProtection="1">
      <alignment horizontal="center"/>
    </xf>
    <xf numFmtId="44" fontId="12" fillId="0" borderId="0" xfId="0" applyNumberFormat="1" applyFont="1" applyBorder="1" applyProtection="1"/>
    <xf numFmtId="0" fontId="0" fillId="0" borderId="0" xfId="0" applyFill="1"/>
    <xf numFmtId="164" fontId="0" fillId="0" borderId="0" xfId="0" applyNumberFormat="1" applyFill="1"/>
    <xf numFmtId="1" fontId="10" fillId="0" borderId="0" xfId="0" applyNumberFormat="1" applyFont="1" applyAlignment="1" applyProtection="1">
      <alignment horizontal="right"/>
    </xf>
    <xf numFmtId="1" fontId="10" fillId="0" borderId="0" xfId="0" applyNumberFormat="1" applyFont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1" fontId="8" fillId="0" borderId="0" xfId="0" applyNumberFormat="1" applyFont="1" applyAlignment="1" applyProtection="1">
      <alignment horizontal="right"/>
    </xf>
    <xf numFmtId="0" fontId="8" fillId="0" borderId="0" xfId="0" applyFont="1" applyProtection="1"/>
    <xf numFmtId="0" fontId="9" fillId="0" borderId="0" xfId="0" applyFont="1" applyFill="1" applyBorder="1" applyAlignment="1" applyProtection="1">
      <alignment horizontal="center" wrapText="1"/>
    </xf>
    <xf numFmtId="164" fontId="10" fillId="0" borderId="0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9" fillId="0" borderId="0" xfId="0" applyFont="1" applyFill="1" applyAlignment="1" applyProtection="1">
      <alignment horizontal="center"/>
    </xf>
    <xf numFmtId="165" fontId="10" fillId="0" borderId="0" xfId="0" applyNumberFormat="1" applyFont="1" applyFill="1" applyBorder="1" applyProtection="1"/>
    <xf numFmtId="165" fontId="0" fillId="0" borderId="0" xfId="0" applyNumberFormat="1" applyFill="1" applyBorder="1"/>
    <xf numFmtId="0" fontId="0" fillId="0" borderId="0" xfId="0" applyBorder="1" applyProtection="1"/>
    <xf numFmtId="0" fontId="10" fillId="0" borderId="0" xfId="0" applyFont="1" applyFill="1" applyBorder="1" applyAlignment="1" applyProtection="1">
      <alignment horizontal="center"/>
    </xf>
    <xf numFmtId="164" fontId="0" fillId="0" borderId="0" xfId="0" applyNumberFormat="1"/>
    <xf numFmtId="0" fontId="6" fillId="0" borderId="0" xfId="0" applyFont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center"/>
    </xf>
    <xf numFmtId="164" fontId="8" fillId="0" borderId="0" xfId="0" applyNumberFormat="1" applyFont="1" applyAlignment="1" applyProtection="1">
      <alignment horizontal="center"/>
    </xf>
    <xf numFmtId="0" fontId="0" fillId="0" borderId="0" xfId="0" applyBorder="1" applyAlignment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0" fontId="13" fillId="0" borderId="0" xfId="0" applyFont="1"/>
    <xf numFmtId="0" fontId="6" fillId="0" borderId="0" xfId="0" applyFont="1" applyAlignment="1" applyProtection="1">
      <alignment horizontal="left"/>
    </xf>
    <xf numFmtId="0" fontId="8" fillId="0" borderId="0" xfId="0" applyFont="1"/>
    <xf numFmtId="0" fontId="8" fillId="0" borderId="0" xfId="0" applyFont="1" applyAlignment="1" applyProtection="1">
      <alignment horizontal="right"/>
    </xf>
    <xf numFmtId="2" fontId="0" fillId="0" borderId="0" xfId="0" applyNumberFormat="1" applyProtection="1"/>
    <xf numFmtId="0" fontId="6" fillId="0" borderId="0" xfId="0" applyFont="1" applyBorder="1" applyAlignment="1" applyProtection="1">
      <alignment horizontal="center" wrapText="1"/>
    </xf>
    <xf numFmtId="1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9" fillId="0" borderId="0" xfId="0" applyFont="1" applyFill="1" applyBorder="1" applyAlignment="1" applyProtection="1">
      <alignment wrapText="1"/>
    </xf>
    <xf numFmtId="0" fontId="9" fillId="0" borderId="0" xfId="0" applyFont="1" applyAlignment="1" applyProtection="1">
      <alignment horizontal="left"/>
    </xf>
    <xf numFmtId="1" fontId="8" fillId="0" borderId="0" xfId="0" applyNumberFormat="1" applyFont="1" applyAlignment="1" applyProtection="1">
      <alignment horizontal="center"/>
    </xf>
    <xf numFmtId="0" fontId="14" fillId="0" borderId="0" xfId="0" applyFont="1" applyProtection="1"/>
    <xf numFmtId="0" fontId="14" fillId="0" borderId="0" xfId="0" applyFont="1" applyAlignment="1" applyProtection="1"/>
    <xf numFmtId="0" fontId="14" fillId="0" borderId="0" xfId="0" applyFont="1" applyBorder="1" applyAlignment="1" applyProtection="1"/>
    <xf numFmtId="0" fontId="14" fillId="0" borderId="0" xfId="0" applyFont="1" applyBorder="1" applyProtection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15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/>
    <xf numFmtId="0" fontId="14" fillId="0" borderId="0" xfId="0" applyFont="1"/>
    <xf numFmtId="0" fontId="14" fillId="0" borderId="0" xfId="0" applyFont="1" applyAlignment="1">
      <alignment horizontal="center"/>
    </xf>
    <xf numFmtId="164" fontId="14" fillId="0" borderId="0" xfId="0" applyNumberFormat="1" applyFont="1" applyFill="1" applyBorder="1" applyAlignment="1" applyProtection="1">
      <alignment horizontal="center"/>
    </xf>
    <xf numFmtId="0" fontId="14" fillId="0" borderId="0" xfId="0" applyFont="1" applyAlignment="1"/>
    <xf numFmtId="2" fontId="14" fillId="0" borderId="0" xfId="0" applyNumberFormat="1" applyFont="1" applyFill="1" applyBorder="1" applyAlignment="1" applyProtection="1">
      <alignment horizontal="center"/>
    </xf>
    <xf numFmtId="2" fontId="15" fillId="0" borderId="0" xfId="0" applyNumberFormat="1" applyFont="1" applyFill="1" applyBorder="1" applyAlignment="1" applyProtection="1">
      <alignment horizontal="center"/>
    </xf>
    <xf numFmtId="166" fontId="15" fillId="0" borderId="0" xfId="0" applyNumberFormat="1" applyFont="1" applyFill="1" applyBorder="1" applyAlignment="1" applyProtection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Protection="1"/>
    <xf numFmtId="2" fontId="15" fillId="0" borderId="0" xfId="0" applyNumberFormat="1" applyFont="1" applyFill="1" applyBorder="1" applyAlignment="1">
      <alignment horizontal="center"/>
    </xf>
    <xf numFmtId="166" fontId="15" fillId="0" borderId="0" xfId="0" applyNumberFormat="1" applyFont="1" applyFill="1" applyBorder="1" applyAlignment="1">
      <alignment horizontal="center"/>
    </xf>
    <xf numFmtId="166" fontId="14" fillId="0" borderId="0" xfId="0" applyNumberFormat="1" applyFont="1" applyFill="1" applyBorder="1" applyAlignment="1" applyProtection="1">
      <alignment horizontal="center"/>
    </xf>
    <xf numFmtId="14" fontId="14" fillId="0" borderId="0" xfId="0" applyNumberFormat="1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Border="1" applyAlignment="1" applyProtection="1">
      <alignment horizontal="center"/>
    </xf>
    <xf numFmtId="0" fontId="16" fillId="0" borderId="0" xfId="0" applyFont="1" applyProtection="1"/>
    <xf numFmtId="0" fontId="10" fillId="0" borderId="0" xfId="0" applyFont="1" applyAlignment="1" applyProtection="1"/>
    <xf numFmtId="0" fontId="9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/>
    <xf numFmtId="0" fontId="9" fillId="0" borderId="0" xfId="0" applyFont="1" applyFill="1" applyBorder="1" applyAlignment="1" applyProtection="1"/>
    <xf numFmtId="2" fontId="0" fillId="0" borderId="0" xfId="0" applyNumberFormat="1" applyFill="1" applyBorder="1" applyProtection="1"/>
    <xf numFmtId="0" fontId="0" fillId="0" borderId="0" xfId="0" applyAlignment="1">
      <alignment vertical="top" wrapText="1"/>
    </xf>
    <xf numFmtId="0" fontId="10" fillId="0" borderId="0" xfId="0" applyFont="1" applyFill="1" applyBorder="1" applyAlignment="1" applyProtection="1">
      <alignment horizontal="center" wrapText="1"/>
    </xf>
    <xf numFmtId="165" fontId="9" fillId="0" borderId="0" xfId="0" applyNumberFormat="1" applyFont="1" applyFill="1" applyBorder="1" applyProtection="1"/>
    <xf numFmtId="0" fontId="6" fillId="0" borderId="0" xfId="0" applyFont="1"/>
    <xf numFmtId="0" fontId="8" fillId="0" borderId="0" xfId="0" applyFont="1" applyAlignment="1" applyProtection="1">
      <alignment horizontal="center"/>
    </xf>
    <xf numFmtId="0" fontId="19" fillId="0" borderId="0" xfId="0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17" fillId="0" borderId="0" xfId="0" applyFont="1"/>
    <xf numFmtId="1" fontId="7" fillId="0" borderId="0" xfId="0" applyNumberFormat="1" applyFont="1" applyProtection="1"/>
    <xf numFmtId="0" fontId="0" fillId="0" borderId="0" xfId="0" applyAlignment="1">
      <alignment wrapText="1"/>
    </xf>
    <xf numFmtId="0" fontId="21" fillId="0" borderId="0" xfId="0" applyFont="1" applyAlignment="1" applyProtection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/>
    <xf numFmtId="2" fontId="8" fillId="0" borderId="0" xfId="0" applyNumberFormat="1" applyFont="1" applyFill="1" applyBorder="1" applyAlignment="1" applyProtection="1">
      <alignment horizontal="center"/>
    </xf>
    <xf numFmtId="1" fontId="6" fillId="0" borderId="0" xfId="0" applyNumberFormat="1" applyFont="1" applyProtection="1"/>
    <xf numFmtId="164" fontId="6" fillId="0" borderId="0" xfId="0" quotePrefix="1" applyNumberFormat="1" applyFont="1" applyBorder="1" applyAlignment="1" applyProtection="1">
      <alignment horizontal="center"/>
    </xf>
    <xf numFmtId="1" fontId="6" fillId="0" borderId="0" xfId="0" applyNumberFormat="1" applyFont="1" applyBorder="1" applyAlignment="1" applyProtection="1">
      <alignment horizontal="center"/>
    </xf>
    <xf numFmtId="164" fontId="6" fillId="0" borderId="0" xfId="0" applyNumberFormat="1" applyFont="1" applyBorder="1" applyAlignment="1" applyProtection="1">
      <alignment horizontal="right"/>
    </xf>
    <xf numFmtId="2" fontId="6" fillId="0" borderId="0" xfId="0" applyNumberFormat="1" applyFont="1" applyAlignment="1">
      <alignment horizontal="center"/>
    </xf>
    <xf numFmtId="0" fontId="22" fillId="0" borderId="0" xfId="0" applyFont="1" applyAlignment="1">
      <alignment horizontal="justify"/>
    </xf>
    <xf numFmtId="0" fontId="22" fillId="0" borderId="0" xfId="0" applyFont="1" applyAlignment="1">
      <alignment horizontal="left"/>
    </xf>
    <xf numFmtId="0" fontId="8" fillId="0" borderId="0" xfId="0" applyFont="1" applyAlignment="1"/>
    <xf numFmtId="1" fontId="18" fillId="0" borderId="0" xfId="0" applyNumberFormat="1" applyFont="1" applyAlignment="1" applyProtection="1">
      <alignment horizontal="center"/>
    </xf>
    <xf numFmtId="1" fontId="17" fillId="0" borderId="0" xfId="0" applyNumberFormat="1" applyFont="1" applyAlignment="1" applyProtection="1">
      <alignment horizontal="center"/>
    </xf>
    <xf numFmtId="166" fontId="17" fillId="0" borderId="0" xfId="0" applyNumberFormat="1" applyFont="1" applyAlignment="1" applyProtection="1">
      <alignment horizontal="center"/>
    </xf>
    <xf numFmtId="0" fontId="18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24" fillId="0" borderId="0" xfId="0" applyFont="1"/>
    <xf numFmtId="0" fontId="0" fillId="0" borderId="0" xfId="0" applyFill="1" applyBorder="1" applyAlignment="1" applyProtection="1">
      <alignment horizontal="left"/>
    </xf>
    <xf numFmtId="1" fontId="0" fillId="0" borderId="0" xfId="0" applyNumberFormat="1" applyProtection="1"/>
    <xf numFmtId="1" fontId="0" fillId="0" borderId="0" xfId="0" applyNumberFormat="1"/>
    <xf numFmtId="1" fontId="8" fillId="0" borderId="0" xfId="0" applyNumberFormat="1" applyFont="1" applyProtection="1"/>
    <xf numFmtId="2" fontId="10" fillId="0" borderId="0" xfId="0" applyNumberFormat="1" applyFont="1" applyProtection="1"/>
    <xf numFmtId="1" fontId="0" fillId="0" borderId="0" xfId="0" applyNumberFormat="1" applyBorder="1"/>
    <xf numFmtId="0" fontId="8" fillId="0" borderId="0" xfId="0" applyFont="1" applyBorder="1" applyAlignment="1">
      <alignment horizontal="left" wrapText="1"/>
    </xf>
    <xf numFmtId="0" fontId="25" fillId="0" borderId="0" xfId="0" applyFont="1" applyProtection="1"/>
    <xf numFmtId="0" fontId="26" fillId="0" borderId="0" xfId="0" applyFont="1"/>
    <xf numFmtId="0" fontId="26" fillId="0" borderId="0" xfId="0" applyFont="1" applyProtection="1"/>
    <xf numFmtId="0" fontId="6" fillId="0" borderId="0" xfId="0" applyFont="1" applyFill="1" applyBorder="1" applyAlignment="1" applyProtection="1">
      <alignment horizontal="center" wrapText="1"/>
    </xf>
    <xf numFmtId="164" fontId="5" fillId="0" borderId="1" xfId="0" applyNumberFormat="1" applyFont="1" applyFill="1" applyBorder="1" applyAlignment="1" applyProtection="1">
      <alignment horizontal="center"/>
    </xf>
    <xf numFmtId="0" fontId="5" fillId="0" borderId="0" xfId="0" applyFont="1" applyFill="1" applyAlignment="1">
      <alignment horizontal="center"/>
    </xf>
    <xf numFmtId="0" fontId="26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 applyProtection="1"/>
    <xf numFmtId="1" fontId="5" fillId="0" borderId="1" xfId="0" applyNumberFormat="1" applyFont="1" applyFill="1" applyBorder="1" applyAlignment="1" applyProtection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Fill="1" applyBorder="1" applyProtection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4" fontId="5" fillId="0" borderId="0" xfId="0" applyNumberFormat="1" applyFont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Fill="1" applyBorder="1" applyProtection="1"/>
    <xf numFmtId="0" fontId="5" fillId="0" borderId="0" xfId="0" applyFont="1" applyBorder="1"/>
    <xf numFmtId="165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4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10" fillId="0" borderId="0" xfId="0" applyNumberFormat="1" applyFont="1" applyProtection="1"/>
    <xf numFmtId="0" fontId="10" fillId="0" borderId="0" xfId="0" applyNumberFormat="1" applyFont="1" applyFill="1" applyBorder="1" applyProtection="1"/>
    <xf numFmtId="0" fontId="9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horizontal="center"/>
    </xf>
    <xf numFmtId="0" fontId="14" fillId="0" borderId="0" xfId="0" applyNumberFormat="1" applyFont="1" applyFill="1" applyBorder="1" applyAlignment="1">
      <alignment horizontal="center"/>
    </xf>
    <xf numFmtId="0" fontId="14" fillId="0" borderId="0" xfId="0" applyNumberFormat="1" applyFont="1" applyBorder="1" applyAlignment="1">
      <alignment horizontal="center"/>
    </xf>
    <xf numFmtId="0" fontId="14" fillId="0" borderId="0" xfId="0" applyNumberFormat="1" applyFont="1" applyAlignment="1">
      <alignment horizontal="center"/>
    </xf>
    <xf numFmtId="0" fontId="14" fillId="0" borderId="0" xfId="0" applyNumberFormat="1" applyFont="1"/>
    <xf numFmtId="0" fontId="0" fillId="0" borderId="0" xfId="0" applyNumberFormat="1"/>
    <xf numFmtId="165" fontId="10" fillId="0" borderId="0" xfId="0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>
      <alignment horizontal="center"/>
    </xf>
    <xf numFmtId="1" fontId="5" fillId="0" borderId="0" xfId="0" applyNumberFormat="1" applyFont="1" applyBorder="1" applyAlignment="1" applyProtection="1">
      <alignment horizontal="left"/>
    </xf>
    <xf numFmtId="165" fontId="28" fillId="0" borderId="0" xfId="1" applyNumberFormat="1" applyFill="1" applyBorder="1" applyProtection="1"/>
    <xf numFmtId="166" fontId="10" fillId="0" borderId="0" xfId="0" applyNumberFormat="1" applyFont="1" applyFill="1" applyBorder="1" applyProtection="1"/>
    <xf numFmtId="166" fontId="10" fillId="0" borderId="0" xfId="0" applyNumberFormat="1" applyFont="1" applyProtection="1"/>
    <xf numFmtId="1" fontId="10" fillId="0" borderId="0" xfId="0" applyNumberFormat="1" applyFont="1" applyFill="1" applyBorder="1" applyAlignment="1" applyProtection="1">
      <alignment horizontal="center"/>
    </xf>
    <xf numFmtId="44" fontId="10" fillId="0" borderId="0" xfId="2" applyFont="1" applyFill="1" applyBorder="1" applyAlignment="1" applyProtection="1">
      <alignment horizontal="center"/>
    </xf>
    <xf numFmtId="44" fontId="0" fillId="0" borderId="0" xfId="2" applyFont="1"/>
    <xf numFmtId="168" fontId="10" fillId="0" borderId="0" xfId="0" applyNumberFormat="1" applyFont="1" applyFill="1" applyBorder="1" applyAlignment="1" applyProtection="1">
      <alignment horizontal="center"/>
    </xf>
    <xf numFmtId="164" fontId="25" fillId="0" borderId="0" xfId="0" applyNumberFormat="1" applyFont="1" applyBorder="1" applyAlignment="1" applyProtection="1">
      <alignment horizontal="center"/>
    </xf>
    <xf numFmtId="0" fontId="26" fillId="0" borderId="0" xfId="0" applyFont="1" applyBorder="1"/>
    <xf numFmtId="0" fontId="26" fillId="0" borderId="0" xfId="0" applyFont="1" applyFill="1" applyBorder="1"/>
    <xf numFmtId="0" fontId="25" fillId="0" borderId="0" xfId="0" applyFont="1" applyBorder="1" applyAlignment="1" applyProtection="1">
      <alignment horizontal="center"/>
    </xf>
    <xf numFmtId="1" fontId="25" fillId="0" borderId="0" xfId="0" applyNumberFormat="1" applyFont="1" applyBorder="1" applyAlignment="1" applyProtection="1">
      <alignment horizontal="center"/>
    </xf>
    <xf numFmtId="1" fontId="5" fillId="0" borderId="0" xfId="0" applyNumberFormat="1" applyFont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32" fillId="0" borderId="0" xfId="0" applyFont="1"/>
    <xf numFmtId="1" fontId="26" fillId="0" borderId="0" xfId="0" applyNumberFormat="1" applyFont="1" applyAlignment="1">
      <alignment horizontal="center"/>
    </xf>
    <xf numFmtId="165" fontId="5" fillId="0" borderId="0" xfId="0" applyNumberFormat="1" applyFont="1" applyFill="1" applyBorder="1" applyProtection="1"/>
    <xf numFmtId="2" fontId="5" fillId="0" borderId="0" xfId="0" applyNumberFormat="1" applyFont="1"/>
    <xf numFmtId="165" fontId="27" fillId="0" borderId="0" xfId="1" applyNumberFormat="1" applyFont="1" applyFill="1" applyBorder="1" applyProtection="1"/>
    <xf numFmtId="2" fontId="0" fillId="0" borderId="1" xfId="0" applyNumberFormat="1" applyBorder="1" applyAlignment="1" applyProtection="1">
      <alignment horizontal="center"/>
    </xf>
    <xf numFmtId="164" fontId="6" fillId="0" borderId="1" xfId="0" applyNumberFormat="1" applyFont="1" applyBorder="1" applyAlignment="1" applyProtection="1">
      <alignment horizontal="center"/>
    </xf>
    <xf numFmtId="1" fontId="5" fillId="0" borderId="0" xfId="0" applyNumberFormat="1" applyFont="1" applyBorder="1" applyAlignment="1" applyProtection="1">
      <alignment horizontal="right"/>
    </xf>
    <xf numFmtId="164" fontId="6" fillId="0" borderId="0" xfId="0" applyNumberFormat="1" applyFont="1" applyFill="1" applyAlignment="1" applyProtection="1">
      <alignment horizontal="center"/>
    </xf>
    <xf numFmtId="0" fontId="25" fillId="0" borderId="0" xfId="0" applyFont="1" applyFill="1" applyBorder="1" applyProtection="1"/>
    <xf numFmtId="0" fontId="11" fillId="0" borderId="0" xfId="0" applyFont="1" applyAlignment="1">
      <alignment horizontal="left"/>
    </xf>
    <xf numFmtId="0" fontId="26" fillId="0" borderId="0" xfId="0" applyFont="1" applyBorder="1" applyAlignment="1">
      <alignment horizontal="left" wrapText="1"/>
    </xf>
    <xf numFmtId="2" fontId="5" fillId="0" borderId="1" xfId="0" applyNumberFormat="1" applyFont="1" applyBorder="1" applyAlignment="1" applyProtection="1">
      <alignment horizontal="center"/>
    </xf>
    <xf numFmtId="1" fontId="26" fillId="0" borderId="0" xfId="0" applyNumberFormat="1" applyFont="1" applyBorder="1" applyAlignment="1" applyProtection="1">
      <alignment horizontal="left"/>
    </xf>
    <xf numFmtId="2" fontId="5" fillId="0" borderId="0" xfId="0" applyNumberFormat="1" applyFont="1" applyBorder="1" applyAlignment="1" applyProtection="1">
      <alignment horizontal="left"/>
    </xf>
    <xf numFmtId="0" fontId="5" fillId="0" borderId="0" xfId="0" applyFont="1" applyFill="1" applyBorder="1"/>
    <xf numFmtId="164" fontId="5" fillId="0" borderId="0" xfId="0" applyNumberFormat="1" applyFont="1" applyBorder="1" applyAlignment="1" applyProtection="1">
      <alignment horizontal="left"/>
    </xf>
    <xf numFmtId="0" fontId="31" fillId="0" borderId="0" xfId="0" applyFont="1" applyFill="1" applyBorder="1" applyAlignment="1" applyProtection="1">
      <alignment horizontal="center" wrapText="1"/>
    </xf>
    <xf numFmtId="0" fontId="30" fillId="0" borderId="0" xfId="0" applyFont="1"/>
    <xf numFmtId="0" fontId="5" fillId="0" borderId="1" xfId="0" applyFont="1" applyBorder="1" applyAlignment="1"/>
    <xf numFmtId="0" fontId="0" fillId="0" borderId="1" xfId="0" applyBorder="1" applyAlignment="1"/>
    <xf numFmtId="2" fontId="5" fillId="0" borderId="0" xfId="0" applyNumberFormat="1" applyFont="1" applyBorder="1" applyAlignment="1" applyProtection="1">
      <alignment horizontal="center"/>
    </xf>
    <xf numFmtId="2" fontId="0" fillId="0" borderId="0" xfId="0" applyNumberFormat="1"/>
    <xf numFmtId="0" fontId="27" fillId="0" borderId="0" xfId="1" applyFont="1" applyFill="1" applyBorder="1"/>
    <xf numFmtId="0" fontId="34" fillId="0" borderId="0" xfId="0" applyFont="1" applyBorder="1"/>
    <xf numFmtId="0" fontId="34" fillId="0" borderId="0" xfId="0" applyFont="1" applyBorder="1" applyAlignment="1">
      <alignment horizontal="center"/>
    </xf>
    <xf numFmtId="169" fontId="8" fillId="0" borderId="0" xfId="0" applyNumberFormat="1" applyFont="1" applyAlignment="1" applyProtection="1">
      <alignment horizontal="center"/>
    </xf>
    <xf numFmtId="0" fontId="37" fillId="0" borderId="0" xfId="0" applyFont="1"/>
    <xf numFmtId="2" fontId="22" fillId="0" borderId="0" xfId="0" applyNumberFormat="1" applyFont="1" applyAlignment="1"/>
    <xf numFmtId="2" fontId="23" fillId="0" borderId="0" xfId="0" applyNumberFormat="1" applyFont="1" applyAlignment="1"/>
    <xf numFmtId="0" fontId="5" fillId="0" borderId="1" xfId="0" applyFont="1" applyBorder="1" applyAlignment="1">
      <alignment horizontal="center"/>
    </xf>
    <xf numFmtId="0" fontId="35" fillId="0" borderId="0" xfId="0" applyFont="1"/>
    <xf numFmtId="0" fontId="13" fillId="0" borderId="0" xfId="0" applyFont="1" applyAlignment="1" applyProtection="1"/>
    <xf numFmtId="164" fontId="6" fillId="0" borderId="0" xfId="0" applyNumberFormat="1" applyFont="1"/>
    <xf numFmtId="2" fontId="11" fillId="0" borderId="0" xfId="0" applyNumberFormat="1" applyFont="1" applyProtection="1"/>
    <xf numFmtId="2" fontId="6" fillId="0" borderId="0" xfId="0" applyNumberFormat="1" applyFont="1" applyProtection="1"/>
    <xf numFmtId="2" fontId="9" fillId="0" borderId="0" xfId="0" applyNumberFormat="1" applyFont="1" applyFill="1" applyBorder="1" applyAlignment="1" applyProtection="1">
      <alignment horizontal="center" wrapText="1"/>
    </xf>
    <xf numFmtId="0" fontId="5" fillId="0" borderId="3" xfId="0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1" fontId="39" fillId="0" borderId="0" xfId="0" applyNumberFormat="1" applyFont="1" applyAlignment="1">
      <alignment horizontal="center"/>
    </xf>
    <xf numFmtId="1" fontId="38" fillId="3" borderId="1" xfId="0" applyNumberFormat="1" applyFont="1" applyFill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11" fillId="0" borderId="0" xfId="0" applyFont="1"/>
    <xf numFmtId="0" fontId="39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3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44" fillId="0" borderId="1" xfId="5" applyFont="1" applyBorder="1" applyAlignment="1"/>
    <xf numFmtId="0" fontId="45" fillId="0" borderId="0" xfId="0" applyFont="1" applyAlignment="1">
      <alignment horizontal="center"/>
    </xf>
    <xf numFmtId="0" fontId="30" fillId="0" borderId="3" xfId="0" applyFont="1" applyBorder="1" applyAlignment="1"/>
    <xf numFmtId="0" fontId="5" fillId="0" borderId="0" xfId="0" applyFont="1" applyAlignment="1"/>
    <xf numFmtId="0" fontId="42" fillId="4" borderId="6" xfId="0" applyFont="1" applyFill="1" applyBorder="1" applyAlignment="1">
      <alignment horizontal="center" vertical="top" wrapText="1"/>
    </xf>
    <xf numFmtId="0" fontId="12" fillId="0" borderId="0" xfId="0" applyFont="1"/>
    <xf numFmtId="0" fontId="5" fillId="0" borderId="0" xfId="0" applyFont="1" applyAlignment="1" applyProtection="1">
      <alignment horizontal="right"/>
    </xf>
    <xf numFmtId="165" fontId="5" fillId="0" borderId="0" xfId="0" applyNumberFormat="1" applyFont="1" applyProtection="1"/>
    <xf numFmtId="0" fontId="5" fillId="0" borderId="1" xfId="4" applyFont="1" applyBorder="1" applyAlignment="1">
      <alignment horizontal="center"/>
    </xf>
    <xf numFmtId="0" fontId="25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3" fillId="0" borderId="1" xfId="1" applyNumberFormat="1" applyFont="1" applyFill="1" applyBorder="1" applyAlignment="1" applyProtection="1">
      <alignment horizontal="center"/>
    </xf>
    <xf numFmtId="164" fontId="0" fillId="0" borderId="1" xfId="0" applyNumberFormat="1" applyBorder="1" applyAlignment="1">
      <alignment horizontal="center"/>
    </xf>
    <xf numFmtId="0" fontId="5" fillId="0" borderId="0" xfId="0" applyFont="1" applyAlignment="1" applyProtection="1">
      <alignment horizontal="left"/>
    </xf>
    <xf numFmtId="2" fontId="5" fillId="0" borderId="0" xfId="0" applyNumberFormat="1" applyFont="1" applyAlignment="1" applyProtection="1">
      <alignment horizontal="left"/>
    </xf>
    <xf numFmtId="1" fontId="5" fillId="0" borderId="7" xfId="0" applyNumberFormat="1" applyFont="1" applyFill="1" applyBorder="1" applyAlignment="1" applyProtection="1">
      <alignment horizontal="center"/>
    </xf>
    <xf numFmtId="0" fontId="0" fillId="0" borderId="8" xfId="0" applyBorder="1"/>
    <xf numFmtId="1" fontId="38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" fontId="38" fillId="0" borderId="4" xfId="0" applyNumberFormat="1" applyFont="1" applyBorder="1" applyAlignment="1">
      <alignment horizontal="center"/>
    </xf>
    <xf numFmtId="1" fontId="38" fillId="0" borderId="3" xfId="0" applyNumberFormat="1" applyFont="1" applyBorder="1" applyAlignment="1">
      <alignment horizontal="center"/>
    </xf>
    <xf numFmtId="1" fontId="38" fillId="0" borderId="5" xfId="0" applyNumberFormat="1" applyFont="1" applyBorder="1" applyAlignment="1">
      <alignment horizontal="center"/>
    </xf>
    <xf numFmtId="0" fontId="46" fillId="0" borderId="1" xfId="1" applyFont="1" applyFill="1" applyBorder="1" applyAlignment="1" applyProtection="1">
      <alignment horizontal="center"/>
    </xf>
    <xf numFmtId="164" fontId="27" fillId="0" borderId="1" xfId="1" applyNumberFormat="1" applyFont="1" applyFill="1" applyBorder="1" applyAlignment="1">
      <alignment vertical="center" wrapText="1"/>
    </xf>
    <xf numFmtId="164" fontId="27" fillId="0" borderId="1" xfId="1" applyNumberFormat="1" applyFont="1" applyFill="1" applyBorder="1" applyAlignment="1" applyProtection="1">
      <alignment vertical="center"/>
    </xf>
    <xf numFmtId="164" fontId="5" fillId="0" borderId="1" xfId="0" applyNumberFormat="1" applyFont="1" applyBorder="1" applyAlignment="1">
      <alignment vertical="center"/>
    </xf>
    <xf numFmtId="44" fontId="6" fillId="0" borderId="0" xfId="4" applyNumberFormat="1" applyFont="1" applyFill="1" applyAlignment="1">
      <alignment horizontal="right"/>
    </xf>
    <xf numFmtId="0" fontId="48" fillId="0" borderId="1" xfId="0" applyFont="1" applyBorder="1" applyAlignment="1">
      <alignment horizontal="center"/>
    </xf>
    <xf numFmtId="1" fontId="49" fillId="0" borderId="1" xfId="0" applyNumberFormat="1" applyFont="1" applyBorder="1" applyAlignment="1">
      <alignment horizontal="center"/>
    </xf>
    <xf numFmtId="164" fontId="25" fillId="0" borderId="0" xfId="0" applyNumberFormat="1" applyFont="1" applyFill="1" applyBorder="1" applyProtection="1"/>
    <xf numFmtId="0" fontId="39" fillId="0" borderId="9" xfId="0" applyFont="1" applyBorder="1" applyAlignment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5" fillId="0" borderId="0" xfId="0" applyFont="1" applyAlignment="1" applyProtection="1">
      <alignment horizontal="center" wrapText="1"/>
    </xf>
    <xf numFmtId="0" fontId="5" fillId="0" borderId="0" xfId="0" applyFont="1" applyAlignment="1">
      <alignment horizontal="center" wrapText="1"/>
    </xf>
    <xf numFmtId="1" fontId="5" fillId="0" borderId="1" xfId="0" applyNumberFormat="1" applyFont="1" applyBorder="1" applyAlignment="1">
      <alignment horizontal="center"/>
    </xf>
    <xf numFmtId="1" fontId="0" fillId="0" borderId="1" xfId="0" applyNumberFormat="1" applyBorder="1" applyAlignment="1" applyProtection="1">
      <alignment horizontal="center"/>
    </xf>
    <xf numFmtId="1" fontId="5" fillId="0" borderId="0" xfId="4" applyNumberFormat="1" applyFont="1" applyFill="1" applyBorder="1" applyAlignment="1" applyProtection="1">
      <alignment horizontal="center"/>
    </xf>
    <xf numFmtId="1" fontId="5" fillId="0" borderId="1" xfId="0" applyNumberFormat="1" applyFont="1" applyBorder="1" applyAlignment="1" applyProtection="1">
      <alignment horizontal="center"/>
    </xf>
    <xf numFmtId="164" fontId="6" fillId="0" borderId="0" xfId="0" applyNumberFormat="1" applyFont="1" applyFill="1" applyBorder="1" applyProtection="1"/>
    <xf numFmtId="0" fontId="0" fillId="5" borderId="0" xfId="0" applyFill="1"/>
    <xf numFmtId="1" fontId="38" fillId="6" borderId="1" xfId="0" applyNumberFormat="1" applyFont="1" applyFill="1" applyBorder="1" applyAlignment="1">
      <alignment horizontal="center"/>
    </xf>
    <xf numFmtId="164" fontId="5" fillId="5" borderId="4" xfId="0" applyNumberFormat="1" applyFont="1" applyFill="1" applyBorder="1" applyAlignment="1">
      <alignment horizontal="center"/>
    </xf>
    <xf numFmtId="164" fontId="6" fillId="5" borderId="0" xfId="0" applyNumberFormat="1" applyFont="1" applyFill="1" applyAlignment="1" applyProtection="1">
      <alignment horizontal="center"/>
    </xf>
    <xf numFmtId="1" fontId="0" fillId="5" borderId="0" xfId="0" applyNumberFormat="1" applyFill="1" applyAlignment="1" applyProtection="1">
      <alignment horizontal="center"/>
    </xf>
    <xf numFmtId="0" fontId="0" fillId="5" borderId="0" xfId="0" applyFill="1" applyBorder="1"/>
    <xf numFmtId="2" fontId="38" fillId="6" borderId="2" xfId="4" applyNumberFormat="1" applyFont="1" applyFill="1" applyBorder="1" applyAlignment="1">
      <alignment horizontal="center"/>
    </xf>
    <xf numFmtId="2" fontId="38" fillId="3" borderId="2" xfId="4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64" fontId="6" fillId="5" borderId="2" xfId="0" applyNumberFormat="1" applyFont="1" applyFill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26" fillId="0" borderId="1" xfId="0" applyFont="1" applyBorder="1"/>
    <xf numFmtId="0" fontId="0" fillId="0" borderId="0" xfId="0" applyAlignment="1" applyProtection="1">
      <alignment horizontal="left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5" borderId="0" xfId="0" applyFill="1" applyAlignment="1" applyProtection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Border="1" applyAlignment="1" applyProtection="1">
      <alignment horizontal="right"/>
    </xf>
    <xf numFmtId="1" fontId="0" fillId="5" borderId="0" xfId="0" applyNumberFormat="1" applyFill="1" applyBorder="1" applyProtection="1"/>
    <xf numFmtId="0" fontId="12" fillId="0" borderId="1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1" fontId="12" fillId="5" borderId="1" xfId="0" applyNumberFormat="1" applyFont="1" applyFill="1" applyBorder="1" applyAlignment="1">
      <alignment horizontal="center"/>
    </xf>
    <xf numFmtId="164" fontId="49" fillId="5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50" fillId="0" borderId="1" xfId="0" applyFont="1" applyBorder="1" applyAlignment="1" applyProtection="1">
      <alignment horizontal="left" wrapText="1"/>
    </xf>
    <xf numFmtId="0" fontId="50" fillId="0" borderId="1" xfId="0" applyFont="1" applyBorder="1" applyAlignment="1" applyProtection="1">
      <alignment horizontal="left"/>
    </xf>
    <xf numFmtId="0" fontId="50" fillId="0" borderId="1" xfId="0" applyFont="1" applyBorder="1" applyAlignment="1">
      <alignment horizontal="left"/>
    </xf>
    <xf numFmtId="0" fontId="50" fillId="0" borderId="1" xfId="0" applyFont="1" applyFill="1" applyBorder="1" applyAlignment="1" applyProtection="1">
      <alignment horizontal="left" wrapText="1"/>
    </xf>
    <xf numFmtId="0" fontId="6" fillId="0" borderId="1" xfId="0" applyFont="1" applyBorder="1" applyAlignment="1">
      <alignment horizontal="left"/>
    </xf>
    <xf numFmtId="1" fontId="6" fillId="0" borderId="1" xfId="0" applyNumberFormat="1" applyFont="1" applyBorder="1" applyAlignment="1" applyProtection="1">
      <alignment horizontal="center"/>
    </xf>
    <xf numFmtId="0" fontId="6" fillId="5" borderId="1" xfId="0" applyFont="1" applyFill="1" applyBorder="1" applyAlignment="1" applyProtection="1">
      <alignment horizontal="center"/>
    </xf>
    <xf numFmtId="0" fontId="0" fillId="5" borderId="1" xfId="0" applyFill="1" applyBorder="1" applyProtection="1"/>
    <xf numFmtId="0" fontId="8" fillId="0" borderId="1" xfId="0" applyFont="1" applyBorder="1" applyProtection="1"/>
    <xf numFmtId="0" fontId="0" fillId="0" borderId="1" xfId="0" applyBorder="1" applyProtection="1"/>
    <xf numFmtId="1" fontId="6" fillId="5" borderId="1" xfId="0" applyNumberFormat="1" applyFont="1" applyFill="1" applyBorder="1" applyAlignment="1" applyProtection="1">
      <alignment horizontal="center"/>
    </xf>
    <xf numFmtId="0" fontId="6" fillId="0" borderId="1" xfId="0" applyFont="1" applyBorder="1" applyProtection="1"/>
    <xf numFmtId="0" fontId="6" fillId="5" borderId="1" xfId="0" applyFont="1" applyFill="1" applyBorder="1" applyAlignment="1" applyProtection="1">
      <alignment horizontal="center" wrapText="1"/>
    </xf>
    <xf numFmtId="0" fontId="6" fillId="5" borderId="1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center"/>
    </xf>
    <xf numFmtId="164" fontId="5" fillId="5" borderId="1" xfId="0" applyNumberFormat="1" applyFont="1" applyFill="1" applyBorder="1" applyAlignment="1" applyProtection="1">
      <alignment horizontal="center"/>
    </xf>
    <xf numFmtId="164" fontId="5" fillId="0" borderId="1" xfId="0" applyNumberFormat="1" applyFont="1" applyBorder="1" applyAlignment="1" applyProtection="1">
      <alignment horizontal="center"/>
    </xf>
    <xf numFmtId="0" fontId="8" fillId="5" borderId="1" xfId="0" applyFont="1" applyFill="1" applyBorder="1" applyAlignment="1" applyProtection="1">
      <alignment horizontal="center"/>
    </xf>
    <xf numFmtId="164" fontId="5" fillId="0" borderId="0" xfId="0" applyNumberFormat="1" applyFont="1" applyBorder="1" applyAlignment="1" applyProtection="1">
      <alignment horizontal="center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164" fontId="5" fillId="5" borderId="10" xfId="0" applyNumberFormat="1" applyFont="1" applyFill="1" applyBorder="1" applyAlignment="1" applyProtection="1">
      <alignment horizontal="center"/>
    </xf>
    <xf numFmtId="164" fontId="5" fillId="0" borderId="10" xfId="0" applyNumberFormat="1" applyFont="1" applyBorder="1" applyAlignment="1" applyProtection="1">
      <alignment horizontal="center"/>
    </xf>
    <xf numFmtId="0" fontId="49" fillId="0" borderId="0" xfId="0" applyFont="1" applyProtection="1"/>
    <xf numFmtId="0" fontId="57" fillId="0" borderId="1" xfId="0" applyFont="1" applyBorder="1"/>
    <xf numFmtId="0" fontId="49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 applyProtection="1">
      <alignment horizontal="right"/>
    </xf>
    <xf numFmtId="164" fontId="5" fillId="5" borderId="12" xfId="0" applyNumberFormat="1" applyFont="1" applyFill="1" applyBorder="1" applyAlignment="1" applyProtection="1">
      <alignment horizontal="center"/>
    </xf>
    <xf numFmtId="164" fontId="5" fillId="0" borderId="12" xfId="0" applyNumberFormat="1" applyFont="1" applyBorder="1" applyAlignment="1" applyProtection="1">
      <alignment horizontal="center"/>
    </xf>
    <xf numFmtId="0" fontId="58" fillId="0" borderId="1" xfId="0" applyFont="1" applyBorder="1"/>
    <xf numFmtId="0" fontId="49" fillId="0" borderId="0" xfId="0" applyFont="1" applyFill="1"/>
    <xf numFmtId="1" fontId="5" fillId="0" borderId="10" xfId="0" applyNumberFormat="1" applyFont="1" applyBorder="1" applyAlignment="1">
      <alignment horizontal="center"/>
    </xf>
    <xf numFmtId="1" fontId="0" fillId="0" borderId="10" xfId="0" applyNumberFormat="1" applyBorder="1" applyAlignment="1" applyProtection="1">
      <alignment horizontal="center"/>
    </xf>
    <xf numFmtId="1" fontId="38" fillId="3" borderId="13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0" fontId="49" fillId="0" borderId="0" xfId="0" applyFont="1"/>
    <xf numFmtId="0" fontId="59" fillId="0" borderId="0" xfId="0" applyFont="1" applyFill="1" applyBorder="1" applyAlignment="1" applyProtection="1">
      <alignment wrapText="1"/>
    </xf>
    <xf numFmtId="0" fontId="27" fillId="0" borderId="1" xfId="1" applyNumberFormat="1" applyFont="1" applyFill="1" applyBorder="1" applyAlignment="1" applyProtection="1">
      <alignment horizontal="center" vertical="center"/>
    </xf>
    <xf numFmtId="0" fontId="28" fillId="0" borderId="1" xfId="1" applyNumberFormat="1" applyFont="1" applyFill="1" applyBorder="1" applyAlignment="1" applyProtection="1">
      <alignment horizontal="center" vertical="center"/>
    </xf>
    <xf numFmtId="0" fontId="51" fillId="0" borderId="1" xfId="0" applyNumberFormat="1" applyFont="1" applyFill="1" applyBorder="1" applyAlignment="1">
      <alignment horizontal="center" vertical="center"/>
    </xf>
    <xf numFmtId="0" fontId="51" fillId="0" borderId="1" xfId="0" applyNumberFormat="1" applyFont="1" applyFill="1" applyBorder="1" applyAlignment="1" applyProtection="1">
      <alignment horizontal="center" vertical="center"/>
    </xf>
    <xf numFmtId="0" fontId="52" fillId="0" borderId="1" xfId="0" applyNumberFormat="1" applyFont="1" applyFill="1" applyBorder="1" applyAlignment="1" applyProtection="1">
      <alignment horizontal="center" vertical="center"/>
    </xf>
    <xf numFmtId="0" fontId="52" fillId="0" borderId="1" xfId="0" applyNumberFormat="1" applyFont="1" applyBorder="1" applyAlignment="1" applyProtection="1">
      <alignment horizontal="center" vertical="center"/>
    </xf>
    <xf numFmtId="0" fontId="52" fillId="0" borderId="1" xfId="0" applyNumberFormat="1" applyFont="1" applyBorder="1" applyAlignment="1">
      <alignment horizontal="center" vertical="center"/>
    </xf>
    <xf numFmtId="0" fontId="53" fillId="0" borderId="1" xfId="0" applyNumberFormat="1" applyFont="1" applyFill="1" applyBorder="1" applyAlignment="1">
      <alignment horizontal="center" vertical="center"/>
    </xf>
    <xf numFmtId="0" fontId="53" fillId="0" borderId="1" xfId="0" applyNumberFormat="1" applyFont="1" applyFill="1" applyBorder="1" applyAlignment="1" applyProtection="1">
      <alignment horizontal="center" vertical="center"/>
    </xf>
    <xf numFmtId="0" fontId="38" fillId="0" borderId="1" xfId="0" applyNumberFormat="1" applyFont="1" applyFill="1" applyBorder="1" applyAlignment="1" applyProtection="1">
      <alignment horizontal="center" vertical="center"/>
    </xf>
    <xf numFmtId="0" fontId="38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Border="1" applyAlignment="1" applyProtection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2" fontId="60" fillId="0" borderId="1" xfId="0" applyNumberFormat="1" applyFont="1" applyBorder="1" applyAlignment="1">
      <alignment horizontal="center"/>
    </xf>
    <xf numFmtId="2" fontId="26" fillId="0" borderId="1" xfId="0" applyNumberFormat="1" applyFont="1" applyFill="1" applyBorder="1" applyAlignment="1" applyProtection="1">
      <alignment horizontal="center"/>
    </xf>
    <xf numFmtId="164" fontId="26" fillId="0" borderId="1" xfId="0" applyNumberFormat="1" applyFont="1" applyBorder="1" applyAlignment="1" applyProtection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5" fillId="0" borderId="4" xfId="0" applyFont="1" applyBorder="1" applyAlignment="1">
      <alignment horizontal="center"/>
    </xf>
    <xf numFmtId="164" fontId="5" fillId="5" borderId="4" xfId="0" applyNumberFormat="1" applyFont="1" applyFill="1" applyBorder="1" applyAlignment="1" applyProtection="1">
      <alignment horizontal="center"/>
    </xf>
    <xf numFmtId="164" fontId="5" fillId="5" borderId="11" xfId="0" applyNumberFormat="1" applyFont="1" applyFill="1" applyBorder="1" applyAlignment="1" applyProtection="1">
      <alignment horizontal="center"/>
    </xf>
    <xf numFmtId="164" fontId="5" fillId="5" borderId="1" xfId="0" applyNumberFormat="1" applyFont="1" applyFill="1" applyBorder="1" applyAlignment="1">
      <alignment horizontal="center"/>
    </xf>
    <xf numFmtId="164" fontId="5" fillId="5" borderId="10" xfId="0" applyNumberFormat="1" applyFont="1" applyFill="1" applyBorder="1" applyAlignment="1">
      <alignment horizontal="center"/>
    </xf>
    <xf numFmtId="164" fontId="5" fillId="5" borderId="12" xfId="0" applyNumberFormat="1" applyFont="1" applyFill="1" applyBorder="1" applyAlignment="1">
      <alignment horizontal="center"/>
    </xf>
    <xf numFmtId="1" fontId="5" fillId="5" borderId="1" xfId="0" applyNumberFormat="1" applyFont="1" applyFill="1" applyBorder="1" applyAlignment="1" applyProtection="1">
      <alignment horizontal="center"/>
    </xf>
    <xf numFmtId="166" fontId="27" fillId="0" borderId="1" xfId="1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 applyProtection="1">
      <alignment horizontal="center"/>
    </xf>
    <xf numFmtId="164" fontId="5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center"/>
    </xf>
    <xf numFmtId="0" fontId="36" fillId="0" borderId="1" xfId="0" applyFont="1" applyFill="1" applyBorder="1" applyAlignment="1" applyProtection="1">
      <alignment horizontal="center"/>
    </xf>
    <xf numFmtId="0" fontId="37" fillId="0" borderId="1" xfId="0" applyFont="1" applyBorder="1" applyAlignment="1">
      <alignment horizontal="left"/>
    </xf>
    <xf numFmtId="0" fontId="5" fillId="0" borderId="1" xfId="0" applyFont="1" applyBorder="1" applyAlignment="1" applyProtection="1">
      <alignment wrapText="1"/>
    </xf>
    <xf numFmtId="0" fontId="5" fillId="0" borderId="1" xfId="0" applyFont="1" applyBorder="1" applyProtection="1"/>
    <xf numFmtId="0" fontId="38" fillId="0" borderId="1" xfId="0" applyFont="1" applyBorder="1"/>
    <xf numFmtId="0" fontId="5" fillId="0" borderId="1" xfId="0" applyFont="1" applyBorder="1" applyAlignment="1">
      <alignment horizontal="center" vertical="center"/>
    </xf>
    <xf numFmtId="2" fontId="38" fillId="0" borderId="1" xfId="0" applyNumberFormat="1" applyFont="1" applyBorder="1" applyAlignment="1">
      <alignment horizontal="center"/>
    </xf>
    <xf numFmtId="169" fontId="5" fillId="0" borderId="3" xfId="4" applyNumberFormat="1" applyFont="1" applyBorder="1" applyAlignment="1">
      <alignment horizontal="center" vertical="center"/>
    </xf>
    <xf numFmtId="2" fontId="5" fillId="3" borderId="1" xfId="4" applyNumberFormat="1" applyFont="1" applyFill="1" applyBorder="1" applyAlignment="1">
      <alignment horizontal="center" vertical="center"/>
    </xf>
    <xf numFmtId="2" fontId="5" fillId="3" borderId="1" xfId="4" applyNumberFormat="1" applyFont="1" applyFill="1" applyBorder="1" applyAlignment="1">
      <alignment horizontal="center"/>
    </xf>
    <xf numFmtId="164" fontId="5" fillId="0" borderId="1" xfId="4" applyNumberFormat="1" applyFont="1" applyBorder="1" applyAlignment="1">
      <alignment horizontal="center" vertical="center"/>
    </xf>
    <xf numFmtId="169" fontId="5" fillId="0" borderId="1" xfId="4" applyNumberFormat="1" applyFont="1" applyBorder="1" applyAlignment="1">
      <alignment horizontal="center" vertical="center"/>
    </xf>
    <xf numFmtId="166" fontId="5" fillId="0" borderId="5" xfId="4" applyNumberFormat="1" applyFont="1" applyBorder="1" applyAlignment="1">
      <alignment horizontal="center" vertical="center"/>
    </xf>
    <xf numFmtId="166" fontId="5" fillId="0" borderId="4" xfId="4" applyNumberFormat="1" applyFont="1" applyBorder="1" applyAlignment="1">
      <alignment horizontal="center" vertical="center"/>
    </xf>
    <xf numFmtId="0" fontId="5" fillId="0" borderId="0" xfId="4"/>
    <xf numFmtId="0" fontId="9" fillId="0" borderId="0" xfId="4" applyFont="1" applyAlignment="1" applyProtection="1">
      <alignment horizontal="center"/>
    </xf>
    <xf numFmtId="0" fontId="9" fillId="0" borderId="0" xfId="4" applyFont="1" applyFill="1" applyBorder="1" applyAlignment="1" applyProtection="1">
      <alignment horizontal="center"/>
    </xf>
    <xf numFmtId="0" fontId="10" fillId="0" borderId="0" xfId="4" applyFont="1" applyAlignment="1" applyProtection="1">
      <alignment horizontal="center"/>
    </xf>
    <xf numFmtId="0" fontId="5" fillId="0" borderId="0" xfId="4" applyFill="1"/>
    <xf numFmtId="164" fontId="5" fillId="0" borderId="0" xfId="4" applyNumberFormat="1" applyFill="1"/>
    <xf numFmtId="0" fontId="9" fillId="0" borderId="0" xfId="4" applyFont="1" applyFill="1" applyBorder="1" applyAlignment="1" applyProtection="1">
      <alignment horizontal="center" wrapText="1"/>
    </xf>
    <xf numFmtId="164" fontId="5" fillId="0" borderId="0" xfId="4" applyNumberFormat="1" applyFill="1" applyAlignment="1">
      <alignment horizontal="center"/>
    </xf>
    <xf numFmtId="0" fontId="14" fillId="0" borderId="0" xfId="4" applyFont="1" applyProtection="1"/>
    <xf numFmtId="0" fontId="14" fillId="0" borderId="0" xfId="4" applyFont="1" applyAlignment="1" applyProtection="1"/>
    <xf numFmtId="0" fontId="14" fillId="0" borderId="0" xfId="4" applyFont="1" applyFill="1" applyBorder="1" applyAlignment="1" applyProtection="1">
      <alignment horizontal="center"/>
    </xf>
    <xf numFmtId="0" fontId="14" fillId="0" borderId="0" xfId="4" applyFont="1"/>
    <xf numFmtId="0" fontId="14" fillId="0" borderId="0" xfId="4" applyFont="1" applyAlignment="1">
      <alignment horizontal="center"/>
    </xf>
    <xf numFmtId="164" fontId="14" fillId="0" borderId="0" xfId="4" applyNumberFormat="1" applyFont="1" applyFill="1" applyBorder="1" applyAlignment="1" applyProtection="1">
      <alignment horizontal="center"/>
    </xf>
    <xf numFmtId="2" fontId="14" fillId="0" borderId="0" xfId="4" applyNumberFormat="1" applyFont="1" applyFill="1" applyBorder="1" applyAlignment="1" applyProtection="1">
      <alignment horizontal="center"/>
    </xf>
    <xf numFmtId="2" fontId="15" fillId="0" borderId="0" xfId="4" applyNumberFormat="1" applyFont="1" applyFill="1" applyBorder="1" applyAlignment="1" applyProtection="1">
      <alignment horizontal="center"/>
    </xf>
    <xf numFmtId="166" fontId="15" fillId="0" borderId="0" xfId="4" applyNumberFormat="1" applyFont="1" applyFill="1" applyBorder="1" applyAlignment="1" applyProtection="1">
      <alignment horizontal="center"/>
    </xf>
    <xf numFmtId="164" fontId="14" fillId="0" borderId="0" xfId="4" applyNumberFormat="1" applyFont="1" applyFill="1" applyBorder="1" applyAlignment="1">
      <alignment horizontal="center"/>
    </xf>
    <xf numFmtId="166" fontId="14" fillId="0" borderId="0" xfId="4" applyNumberFormat="1" applyFont="1" applyFill="1" applyBorder="1" applyAlignment="1" applyProtection="1">
      <alignment horizontal="center"/>
    </xf>
    <xf numFmtId="14" fontId="14" fillId="0" borderId="0" xfId="4" applyNumberFormat="1" applyFont="1" applyBorder="1" applyAlignment="1">
      <alignment horizontal="center"/>
    </xf>
    <xf numFmtId="0" fontId="14" fillId="0" borderId="0" xfId="4" applyFont="1" applyFill="1" applyBorder="1" applyAlignment="1">
      <alignment horizontal="center"/>
    </xf>
    <xf numFmtId="0" fontId="10" fillId="0" borderId="0" xfId="4" applyFont="1" applyAlignment="1" applyProtection="1"/>
    <xf numFmtId="0" fontId="10" fillId="0" borderId="0" xfId="4" applyFont="1" applyAlignment="1"/>
    <xf numFmtId="167" fontId="10" fillId="0" borderId="0" xfId="4" applyNumberFormat="1" applyFont="1" applyFill="1" applyBorder="1" applyAlignment="1" applyProtection="1">
      <alignment horizontal="center"/>
    </xf>
    <xf numFmtId="0" fontId="9" fillId="0" borderId="0" xfId="4" applyNumberFormat="1" applyFont="1" applyFill="1" applyBorder="1" applyAlignment="1" applyProtection="1">
      <alignment horizontal="center"/>
    </xf>
    <xf numFmtId="0" fontId="39" fillId="0" borderId="0" xfId="4" applyFont="1" applyAlignment="1">
      <alignment horizontal="center" wrapText="1"/>
    </xf>
    <xf numFmtId="0" fontId="39" fillId="0" borderId="0" xfId="4" applyFont="1" applyAlignment="1">
      <alignment horizontal="center" vertical="center"/>
    </xf>
    <xf numFmtId="167" fontId="40" fillId="0" borderId="0" xfId="4" applyNumberFormat="1" applyFont="1" applyAlignment="1">
      <alignment horizontal="center"/>
    </xf>
    <xf numFmtId="2" fontId="41" fillId="0" borderId="0" xfId="4" applyNumberFormat="1" applyFont="1" applyAlignment="1">
      <alignment horizontal="center"/>
    </xf>
    <xf numFmtId="0" fontId="55" fillId="0" borderId="1" xfId="4" applyFont="1" applyBorder="1" applyAlignment="1">
      <alignment wrapText="1"/>
    </xf>
    <xf numFmtId="0" fontId="56" fillId="0" borderId="1" xfId="4" applyFont="1" applyBorder="1" applyAlignment="1">
      <alignment wrapText="1"/>
    </xf>
    <xf numFmtId="166" fontId="6" fillId="0" borderId="1" xfId="4" applyNumberFormat="1" applyFont="1" applyFill="1" applyBorder="1" applyAlignment="1" applyProtection="1">
      <alignment horizontal="center" vertical="center"/>
    </xf>
    <xf numFmtId="164" fontId="33" fillId="0" borderId="1" xfId="1" applyNumberFormat="1" applyFont="1" applyFill="1" applyBorder="1" applyAlignment="1" applyProtection="1">
      <alignment horizontal="center" vertical="center"/>
    </xf>
    <xf numFmtId="1" fontId="5" fillId="0" borderId="1" xfId="4" applyNumberFormat="1" applyFont="1" applyFill="1" applyBorder="1" applyAlignment="1" applyProtection="1">
      <alignment horizontal="center" vertical="center"/>
    </xf>
    <xf numFmtId="2" fontId="10" fillId="0" borderId="1" xfId="4" applyNumberFormat="1" applyFont="1" applyFill="1" applyBorder="1" applyAlignment="1" applyProtection="1">
      <alignment horizontal="center" vertical="center"/>
    </xf>
    <xf numFmtId="164" fontId="27" fillId="0" borderId="1" xfId="1" applyNumberFormat="1" applyFont="1" applyFill="1" applyBorder="1" applyAlignment="1" applyProtection="1">
      <alignment horizontal="center" vertical="center"/>
    </xf>
    <xf numFmtId="164" fontId="5" fillId="0" borderId="1" xfId="4" applyNumberFormat="1" applyFont="1" applyBorder="1" applyAlignment="1">
      <alignment horizontal="left" vertical="center"/>
    </xf>
    <xf numFmtId="167" fontId="40" fillId="0" borderId="0" xfId="4" applyNumberFormat="1" applyFont="1" applyAlignment="1">
      <alignment horizontal="center" vertical="center" wrapText="1"/>
    </xf>
    <xf numFmtId="0" fontId="5" fillId="0" borderId="1" xfId="4" applyBorder="1"/>
    <xf numFmtId="0" fontId="12" fillId="0" borderId="1" xfId="4" applyFont="1" applyBorder="1" applyAlignment="1">
      <alignment horizontal="center"/>
    </xf>
    <xf numFmtId="1" fontId="12" fillId="0" borderId="1" xfId="4" applyNumberFormat="1" applyFont="1" applyBorder="1" applyAlignment="1">
      <alignment horizontal="center"/>
    </xf>
    <xf numFmtId="0" fontId="19" fillId="0" borderId="1" xfId="4" applyFont="1" applyBorder="1" applyAlignment="1">
      <alignment horizontal="left"/>
    </xf>
    <xf numFmtId="2" fontId="5" fillId="0" borderId="1" xfId="4" applyNumberFormat="1" applyFont="1" applyFill="1" applyBorder="1" applyAlignment="1" applyProtection="1">
      <alignment horizontal="center" vertical="center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2" fontId="5" fillId="0" borderId="0" xfId="0" applyNumberFormat="1" applyFont="1" applyAlignment="1" applyProtection="1">
      <alignment horizontal="center"/>
    </xf>
    <xf numFmtId="1" fontId="5" fillId="0" borderId="0" xfId="0" applyNumberFormat="1" applyFont="1" applyAlignment="1" applyProtection="1">
      <alignment horizontal="center"/>
    </xf>
    <xf numFmtId="1" fontId="5" fillId="0" borderId="0" xfId="0" applyNumberFormat="1" applyFont="1" applyAlignment="1" applyProtection="1">
      <alignment horizontal="left"/>
    </xf>
    <xf numFmtId="0" fontId="61" fillId="0" borderId="1" xfId="0" applyFont="1" applyBorder="1" applyAlignment="1">
      <alignment horizontal="left"/>
    </xf>
    <xf numFmtId="1" fontId="50" fillId="0" borderId="1" xfId="0" applyNumberFormat="1" applyFont="1" applyBorder="1" applyAlignment="1" applyProtection="1">
      <alignment horizontal="center"/>
    </xf>
    <xf numFmtId="1" fontId="50" fillId="0" borderId="1" xfId="0" applyNumberFormat="1" applyFont="1" applyBorder="1" applyAlignment="1" applyProtection="1">
      <alignment horizontal="right"/>
    </xf>
    <xf numFmtId="0" fontId="50" fillId="0" borderId="1" xfId="0" applyFont="1" applyBorder="1" applyAlignment="1" applyProtection="1">
      <alignment horizontal="right"/>
    </xf>
    <xf numFmtId="0" fontId="50" fillId="0" borderId="1" xfId="0" applyFont="1" applyBorder="1" applyProtection="1"/>
    <xf numFmtId="0" fontId="50" fillId="0" borderId="1" xfId="0" applyFont="1" applyBorder="1" applyAlignment="1" applyProtection="1">
      <alignment horizontal="center"/>
    </xf>
    <xf numFmtId="0" fontId="50" fillId="0" borderId="1" xfId="0" applyFont="1" applyBorder="1"/>
    <xf numFmtId="1" fontId="67" fillId="0" borderId="1" xfId="0" applyNumberFormat="1" applyFont="1" applyBorder="1" applyAlignment="1" applyProtection="1">
      <alignment horizontal="left"/>
    </xf>
    <xf numFmtId="0" fontId="5" fillId="0" borderId="1" xfId="0" applyFont="1" applyBorder="1"/>
    <xf numFmtId="2" fontId="65" fillId="0" borderId="2" xfId="0" applyNumberFormat="1" applyFont="1" applyBorder="1" applyAlignment="1" applyProtection="1">
      <alignment horizontal="left"/>
    </xf>
    <xf numFmtId="2" fontId="65" fillId="0" borderId="14" xfId="0" applyNumberFormat="1" applyFont="1" applyBorder="1" applyAlignment="1" applyProtection="1">
      <alignment horizontal="left"/>
    </xf>
    <xf numFmtId="2" fontId="65" fillId="0" borderId="4" xfId="0" applyNumberFormat="1" applyFont="1" applyBorder="1" applyAlignment="1" applyProtection="1">
      <alignment horizontal="left"/>
    </xf>
    <xf numFmtId="0" fontId="65" fillId="0" borderId="2" xfId="0" applyFont="1" applyBorder="1" applyAlignment="1">
      <alignment horizontal="left"/>
    </xf>
    <xf numFmtId="0" fontId="65" fillId="0" borderId="14" xfId="0" applyFont="1" applyBorder="1" applyAlignment="1">
      <alignment horizontal="left"/>
    </xf>
    <xf numFmtId="0" fontId="65" fillId="0" borderId="4" xfId="0" applyFont="1" applyBorder="1" applyAlignment="1">
      <alignment horizontal="left"/>
    </xf>
    <xf numFmtId="0" fontId="66" fillId="0" borderId="2" xfId="3" applyFont="1" applyBorder="1" applyAlignment="1">
      <alignment horizontal="left"/>
    </xf>
    <xf numFmtId="0" fontId="66" fillId="0" borderId="14" xfId="3" applyFont="1" applyBorder="1" applyAlignment="1">
      <alignment horizontal="left"/>
    </xf>
    <xf numFmtId="0" fontId="66" fillId="0" borderId="4" xfId="3" applyFont="1" applyBorder="1" applyAlignment="1">
      <alignment horizontal="left"/>
    </xf>
    <xf numFmtId="0" fontId="64" fillId="0" borderId="2" xfId="0" applyFont="1" applyBorder="1" applyAlignment="1">
      <alignment horizontal="left" wrapText="1"/>
    </xf>
    <xf numFmtId="0" fontId="64" fillId="0" borderId="14" xfId="0" applyFont="1" applyBorder="1" applyAlignment="1">
      <alignment horizontal="left" wrapText="1"/>
    </xf>
    <xf numFmtId="0" fontId="64" fillId="0" borderId="4" xfId="0" applyFont="1" applyBorder="1" applyAlignment="1">
      <alignment horizontal="left" wrapText="1"/>
    </xf>
    <xf numFmtId="0" fontId="66" fillId="0" borderId="1" xfId="3" applyFont="1" applyBorder="1" applyAlignment="1"/>
    <xf numFmtId="0" fontId="66" fillId="0" borderId="1" xfId="3" applyFont="1" applyBorder="1" applyAlignment="1">
      <alignment horizontal="left" wrapText="1"/>
    </xf>
    <xf numFmtId="0" fontId="66" fillId="0" borderId="1" xfId="3" applyFont="1" applyBorder="1" applyAlignment="1">
      <alignment vertical="center" wrapText="1"/>
    </xf>
    <xf numFmtId="0" fontId="66" fillId="0" borderId="1" xfId="3" applyFont="1" applyBorder="1" applyAlignment="1">
      <alignment wrapText="1"/>
    </xf>
    <xf numFmtId="0" fontId="67" fillId="0" borderId="1" xfId="1" applyFont="1" applyFill="1" applyBorder="1" applyAlignment="1"/>
    <xf numFmtId="0" fontId="66" fillId="0" borderId="1" xfId="3" applyFont="1" applyBorder="1" applyAlignment="1">
      <alignment horizontal="left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7" fillId="0" borderId="0" xfId="0" applyFont="1" applyAlignment="1">
      <alignment horizontal="center" vertical="top" wrapText="1"/>
    </xf>
  </cellXfs>
  <cellStyles count="14">
    <cellStyle name="Bad" xfId="1" builtinId="27"/>
    <cellStyle name="Currency" xfId="2" builtinId="4"/>
    <cellStyle name="Currency 2" xfId="7"/>
    <cellStyle name="Hyperlink" xfId="5" builtinId="8"/>
    <cellStyle name="Normal" xfId="0" builtinId="0"/>
    <cellStyle name="Normal 2" xfId="3"/>
    <cellStyle name="Normal 2 2" xfId="8"/>
    <cellStyle name="Normal 2 2 2" xfId="12"/>
    <cellStyle name="Normal 2 3" xfId="10"/>
    <cellStyle name="Normal 3" xfId="4"/>
    <cellStyle name="Normal 4" xfId="6"/>
    <cellStyle name="Normal 4 2" xfId="9"/>
    <cellStyle name="Normal 4 2 2" xfId="13"/>
    <cellStyle name="Normal 4 3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25</xdr:row>
      <xdr:rowOff>9525</xdr:rowOff>
    </xdr:from>
    <xdr:to>
      <xdr:col>50</xdr:col>
      <xdr:colOff>0</xdr:colOff>
      <xdr:row>32</xdr:row>
      <xdr:rowOff>133350</xdr:rowOff>
    </xdr:to>
    <xdr:pic>
      <xdr:nvPicPr>
        <xdr:cNvPr id="22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516100" y="5753100"/>
          <a:ext cx="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46"/>
  <sheetViews>
    <sheetView tabSelected="1" zoomScaleNormal="100" zoomScalePageLayoutView="125" workbookViewId="0">
      <selection activeCell="B1" sqref="B1"/>
    </sheetView>
  </sheetViews>
  <sheetFormatPr defaultColWidth="8.88671875" defaultRowHeight="13.2"/>
  <cols>
    <col min="2" max="2" width="44.109375" customWidth="1"/>
    <col min="3" max="3" width="14.88671875" customWidth="1"/>
    <col min="4" max="4" width="11.88671875" style="3" customWidth="1"/>
    <col min="5" max="5" width="10.44140625" customWidth="1"/>
    <col min="6" max="6" width="15.33203125" customWidth="1"/>
    <col min="7" max="7" width="11.33203125" customWidth="1"/>
    <col min="8" max="8" width="11.44140625" customWidth="1"/>
    <col min="9" max="9" width="15.33203125" customWidth="1"/>
    <col min="10" max="10" width="15.44140625" style="127" customWidth="1"/>
    <col min="11" max="11" width="15.44140625" style="3" customWidth="1"/>
    <col min="12" max="12" width="9.33203125" customWidth="1"/>
    <col min="13" max="13" width="12.44140625" customWidth="1"/>
    <col min="14" max="14" width="11.109375" customWidth="1"/>
    <col min="15" max="15" width="12.44140625" customWidth="1"/>
  </cols>
  <sheetData>
    <row r="1" spans="1:18" ht="17.399999999999999">
      <c r="B1" s="326" t="s">
        <v>229</v>
      </c>
      <c r="C1" s="6"/>
      <c r="D1" s="17"/>
      <c r="E1" s="6"/>
      <c r="F1" s="309" t="s">
        <v>127</v>
      </c>
      <c r="G1" s="33"/>
      <c r="H1" s="6"/>
      <c r="I1" s="6"/>
      <c r="J1" s="126"/>
      <c r="K1" s="320" t="s">
        <v>71</v>
      </c>
      <c r="L1" s="6"/>
      <c r="M1" s="17"/>
      <c r="N1" s="6"/>
    </row>
    <row r="2" spans="1:18">
      <c r="B2" s="6"/>
      <c r="C2" s="309" t="s">
        <v>19</v>
      </c>
      <c r="D2" s="309" t="s">
        <v>4</v>
      </c>
      <c r="E2" s="310"/>
      <c r="F2" s="309" t="s">
        <v>33</v>
      </c>
      <c r="G2" s="311"/>
      <c r="H2" s="312"/>
      <c r="I2" s="312"/>
      <c r="J2" s="313" t="s">
        <v>70</v>
      </c>
      <c r="K2" s="309" t="s">
        <v>65</v>
      </c>
      <c r="L2" s="309" t="s">
        <v>35</v>
      </c>
      <c r="M2" s="309" t="s">
        <v>137</v>
      </c>
      <c r="N2" s="314" t="s">
        <v>54</v>
      </c>
      <c r="O2" s="2" t="s">
        <v>146</v>
      </c>
    </row>
    <row r="3" spans="1:18">
      <c r="B3" s="6"/>
      <c r="C3" s="309" t="s">
        <v>5</v>
      </c>
      <c r="D3" s="309" t="s">
        <v>38</v>
      </c>
      <c r="E3" s="309" t="s">
        <v>56</v>
      </c>
      <c r="F3" s="315" t="s">
        <v>34</v>
      </c>
      <c r="G3" s="309" t="s">
        <v>3</v>
      </c>
      <c r="H3" s="309" t="s">
        <v>29</v>
      </c>
      <c r="I3" s="316" t="s">
        <v>30</v>
      </c>
      <c r="J3" s="313" t="s">
        <v>64</v>
      </c>
      <c r="K3" s="309" t="s">
        <v>2</v>
      </c>
      <c r="L3" s="309" t="s">
        <v>36</v>
      </c>
      <c r="M3" s="309" t="s">
        <v>138</v>
      </c>
      <c r="N3" s="317" t="s">
        <v>53</v>
      </c>
      <c r="R3" s="5"/>
    </row>
    <row r="4" spans="1:18" ht="21">
      <c r="A4" s="327">
        <v>101</v>
      </c>
      <c r="B4" s="322" t="s">
        <v>149</v>
      </c>
      <c r="C4" s="363">
        <f>Paper!C31</f>
        <v>61.846153846153847</v>
      </c>
      <c r="D4" s="318">
        <f>Static!C5</f>
        <v>50</v>
      </c>
      <c r="E4" s="365">
        <f>MSRP!M7</f>
        <v>37.581689616672868</v>
      </c>
      <c r="F4" s="368">
        <f>'Fuel Economy-Endurance  '!F10</f>
        <v>178.00000000000014</v>
      </c>
      <c r="G4" s="318">
        <f>Oral!AZ4</f>
        <v>64.045454545454547</v>
      </c>
      <c r="H4" s="318">
        <f>Noise!H5</f>
        <v>175</v>
      </c>
      <c r="I4" s="365">
        <f>'Acceleration+ Load'!F5</f>
        <v>40.337711069418361</v>
      </c>
      <c r="J4" s="318">
        <f>'Lab Emissions'!Q4</f>
        <v>62.08</v>
      </c>
      <c r="K4" s="318">
        <f>'In Service Emissions'!K6</f>
        <v>53.499206064693908</v>
      </c>
      <c r="L4" s="318">
        <f>'Cold Start'!D4:D5</f>
        <v>50</v>
      </c>
      <c r="M4" s="318">
        <f>'Drawbar Pull'!I6</f>
        <v>39.93399339933994</v>
      </c>
      <c r="N4" s="319">
        <f>'Penalties and Bonuses'!K4</f>
        <v>100</v>
      </c>
      <c r="O4" s="144">
        <f t="shared" ref="O4:O11" si="0">SUM(C4:N4)</f>
        <v>912.32420854173358</v>
      </c>
      <c r="R4" s="48"/>
    </row>
    <row r="5" spans="1:18" ht="23.4">
      <c r="A5" s="327">
        <v>102</v>
      </c>
      <c r="B5" s="323" t="s">
        <v>151</v>
      </c>
      <c r="C5" s="363">
        <f>Paper!D31</f>
        <v>61.083333333333336</v>
      </c>
      <c r="D5" s="318">
        <f>Static!C6</f>
        <v>50</v>
      </c>
      <c r="E5" s="365">
        <f>MSRP!M8</f>
        <v>33</v>
      </c>
      <c r="F5" s="368">
        <f>'Fuel Economy-Endurance  '!F11</f>
        <v>0</v>
      </c>
      <c r="G5" s="318">
        <f>Oral!AZ5</f>
        <v>65.434782608695656</v>
      </c>
      <c r="H5" s="318">
        <f>Noise!H6</f>
        <v>194.14923520864221</v>
      </c>
      <c r="I5" s="365">
        <f>'Acceleration+ Load'!F6</f>
        <v>0</v>
      </c>
      <c r="J5" s="318">
        <f>'Lab Emissions'!Q5</f>
        <v>273.69</v>
      </c>
      <c r="K5" s="318">
        <f>'In Service Emissions'!K7</f>
        <v>2.5</v>
      </c>
      <c r="L5" s="318">
        <f>'Cold Start'!D5:D6</f>
        <v>0</v>
      </c>
      <c r="M5" s="318">
        <f>'Drawbar Pull'!I7</f>
        <v>5</v>
      </c>
      <c r="N5" s="319">
        <f>'Penalties and Bonuses'!K5</f>
        <v>80</v>
      </c>
      <c r="O5" s="144">
        <f t="shared" si="0"/>
        <v>764.85735115067121</v>
      </c>
      <c r="R5" s="48"/>
    </row>
    <row r="6" spans="1:18" ht="46.8">
      <c r="A6" s="327">
        <v>103</v>
      </c>
      <c r="B6" s="323" t="s">
        <v>147</v>
      </c>
      <c r="C6" s="363">
        <f>Paper!E31</f>
        <v>62.090909090909093</v>
      </c>
      <c r="D6" s="318">
        <f>Static!C7</f>
        <v>50</v>
      </c>
      <c r="E6" s="365">
        <f>MSRP!M9</f>
        <v>43.889839970227015</v>
      </c>
      <c r="F6" s="368">
        <f>'Fuel Economy-Endurance  '!F12</f>
        <v>184</v>
      </c>
      <c r="G6" s="318">
        <f>Oral!AZ6</f>
        <v>60.795454545454547</v>
      </c>
      <c r="H6" s="318">
        <f>Noise!H7</f>
        <v>73.773397886916698</v>
      </c>
      <c r="I6" s="365">
        <f>'Acceleration+ Load'!F7</f>
        <v>50</v>
      </c>
      <c r="J6" s="318">
        <f>'Lab Emissions'!Q6</f>
        <v>58.92</v>
      </c>
      <c r="K6" s="318">
        <f>'In Service Emissions'!K8</f>
        <v>0</v>
      </c>
      <c r="L6" s="318">
        <f>'Cold Start'!D6:D7</f>
        <v>50</v>
      </c>
      <c r="M6" s="318">
        <f>'Drawbar Pull'!I8</f>
        <v>71.947194719471952</v>
      </c>
      <c r="N6" s="319">
        <f>'Penalties and Bonuses'!K6</f>
        <v>-70</v>
      </c>
      <c r="O6" s="144">
        <f t="shared" si="0"/>
        <v>635.41679621297931</v>
      </c>
      <c r="R6" s="48"/>
    </row>
    <row r="7" spans="1:18" ht="23.4">
      <c r="A7" s="327">
        <v>104</v>
      </c>
      <c r="B7" s="323" t="s">
        <v>148</v>
      </c>
      <c r="C7" s="363">
        <f>Paper!F31</f>
        <v>68.777777777777771</v>
      </c>
      <c r="D7" s="318">
        <f>Static!C8</f>
        <v>50</v>
      </c>
      <c r="E7" s="365">
        <f>MSRP!M10</f>
        <v>16.126721250465202</v>
      </c>
      <c r="F7" s="368">
        <f>'Fuel Economy-Endurance  '!F13</f>
        <v>200.00000000000003</v>
      </c>
      <c r="G7" s="318">
        <f>Oral!AZ7</f>
        <v>64.270833333333329</v>
      </c>
      <c r="H7" s="318">
        <f>Noise!H8</f>
        <v>0</v>
      </c>
      <c r="I7" s="365">
        <f>'Acceleration+ Load'!F8</f>
        <v>21.763602251407121</v>
      </c>
      <c r="J7" s="318">
        <f>'Lab Emissions'!Q7</f>
        <v>326.5</v>
      </c>
      <c r="K7" s="318">
        <f>'In Service Emissions'!K9</f>
        <v>86.338495575221231</v>
      </c>
      <c r="L7" s="318">
        <f>'Cold Start'!D7:D8</f>
        <v>0</v>
      </c>
      <c r="M7" s="318">
        <f>'Drawbar Pull'!I9</f>
        <v>5.2145214521452186</v>
      </c>
      <c r="N7" s="319">
        <f>'Penalties and Bonuses'!K7</f>
        <v>-125</v>
      </c>
      <c r="O7" s="144">
        <f t="shared" si="0"/>
        <v>713.99195164034984</v>
      </c>
      <c r="R7" s="48"/>
    </row>
    <row r="8" spans="1:18" ht="23.4">
      <c r="A8" s="327">
        <v>106</v>
      </c>
      <c r="B8" s="323" t="s">
        <v>152</v>
      </c>
      <c r="C8" s="363">
        <f>Paper!G31</f>
        <v>62.666666666666664</v>
      </c>
      <c r="D8" s="318">
        <f>Static!C9</f>
        <v>50</v>
      </c>
      <c r="E8" s="365">
        <f>MSRP!M11</f>
        <v>33.247115742463713</v>
      </c>
      <c r="F8" s="368">
        <f>'Fuel Economy-Endurance  '!F14</f>
        <v>0</v>
      </c>
      <c r="G8" s="318">
        <f>Oral!AZ8</f>
        <v>69.94</v>
      </c>
      <c r="H8" s="318">
        <f>Noise!H9</f>
        <v>59.716075583024583</v>
      </c>
      <c r="I8" s="365">
        <f>'Acceleration+ Load'!F9</f>
        <v>27.110694183864922</v>
      </c>
      <c r="J8" s="318">
        <f>'Lab Emissions'!Q8</f>
        <v>0</v>
      </c>
      <c r="K8" s="318">
        <f>'In Service Emissions'!K10</f>
        <v>0</v>
      </c>
      <c r="L8" s="318">
        <f>'Cold Start'!D8:D9</f>
        <v>50</v>
      </c>
      <c r="M8" s="318">
        <f>'Drawbar Pull'!I10</f>
        <v>90.693069306930681</v>
      </c>
      <c r="N8" s="319">
        <f>'Penalties and Bonuses'!K8</f>
        <v>-225</v>
      </c>
      <c r="O8" s="144">
        <f t="shared" si="0"/>
        <v>218.37362148295057</v>
      </c>
      <c r="R8" s="48"/>
    </row>
    <row r="9" spans="1:18" ht="46.8">
      <c r="A9" s="327">
        <v>107</v>
      </c>
      <c r="B9" s="323" t="s">
        <v>153</v>
      </c>
      <c r="C9" s="363">
        <f>Paper!H31</f>
        <v>67.444444444444443</v>
      </c>
      <c r="D9" s="318">
        <f>Static!C10</f>
        <v>50</v>
      </c>
      <c r="E9" s="365">
        <f>MSRP!M12</f>
        <v>38.334573874209156</v>
      </c>
      <c r="F9" s="368">
        <f>'Fuel Economy-Endurance  '!F15</f>
        <v>0</v>
      </c>
      <c r="G9" s="318">
        <f>Oral!AZ9</f>
        <v>71.260869565217391</v>
      </c>
      <c r="H9" s="318">
        <f>Noise!H10</f>
        <v>200.17808504409084</v>
      </c>
      <c r="I9" s="365">
        <f>'Acceleration+ Load'!F10</f>
        <v>31.425891181988732</v>
      </c>
      <c r="J9" s="318">
        <f>'Lab Emissions'!Q9</f>
        <v>293.69</v>
      </c>
      <c r="K9" s="318">
        <f>'In Service Emissions'!K11</f>
        <v>0</v>
      </c>
      <c r="L9" s="318">
        <f>'Cold Start'!D9:D10</f>
        <v>50</v>
      </c>
      <c r="M9" s="318">
        <f>'Drawbar Pull'!I11</f>
        <v>100</v>
      </c>
      <c r="N9" s="319">
        <f>'Penalties and Bonuses'!K9</f>
        <v>0</v>
      </c>
      <c r="O9" s="144">
        <f t="shared" si="0"/>
        <v>902.33386410995058</v>
      </c>
      <c r="R9" s="48"/>
    </row>
    <row r="10" spans="1:18" ht="23.4">
      <c r="A10" s="327">
        <v>108</v>
      </c>
      <c r="B10" s="323" t="s">
        <v>150</v>
      </c>
      <c r="C10" s="363">
        <f>Paper!I31</f>
        <v>64.666666666666671</v>
      </c>
      <c r="D10" s="318">
        <f>Static!C11</f>
        <v>50</v>
      </c>
      <c r="E10" s="365">
        <f>MSRP!M13</f>
        <v>27</v>
      </c>
      <c r="F10" s="368">
        <f>'Fuel Economy-Endurance  '!F16</f>
        <v>0</v>
      </c>
      <c r="G10" s="318">
        <f>Oral!AZ10</f>
        <v>76.333333333333329</v>
      </c>
      <c r="H10" s="318">
        <f>Noise!H11</f>
        <v>187.67829647264369</v>
      </c>
      <c r="I10" s="365">
        <f>'Acceleration+ Load'!F11</f>
        <v>0</v>
      </c>
      <c r="J10" s="318">
        <f>'Lab Emissions'!Q10</f>
        <v>22.5</v>
      </c>
      <c r="K10" s="318">
        <f>'In Service Emissions'!K13</f>
        <v>0</v>
      </c>
      <c r="L10" s="318">
        <f>'Cold Start'!D10:D11</f>
        <v>0</v>
      </c>
      <c r="M10" s="318">
        <f>'Drawbar Pull'!I12</f>
        <v>0</v>
      </c>
      <c r="N10" s="319">
        <f>'Penalties and Bonuses'!K10</f>
        <v>0</v>
      </c>
      <c r="O10" s="144">
        <f t="shared" si="0"/>
        <v>428.17829647264369</v>
      </c>
      <c r="R10" s="48"/>
    </row>
    <row r="11" spans="1:18" ht="23.4">
      <c r="A11" s="327">
        <v>111</v>
      </c>
      <c r="B11" s="323" t="s">
        <v>182</v>
      </c>
      <c r="C11" s="364">
        <f>Paper!J31</f>
        <v>70</v>
      </c>
      <c r="D11" s="324">
        <f>Static!C12</f>
        <v>50</v>
      </c>
      <c r="E11" s="366">
        <f>MSRP!M14</f>
        <v>29.42649795310755</v>
      </c>
      <c r="F11" s="368">
        <f>'Fuel Economy-Endurance  '!F17</f>
        <v>100</v>
      </c>
      <c r="G11" s="324">
        <f>Oral!AZ11</f>
        <v>71.1875</v>
      </c>
      <c r="H11" s="318">
        <f>Noise!H12</f>
        <v>194.64360167202898</v>
      </c>
      <c r="I11" s="366">
        <f>'Acceleration+ Load'!F12</f>
        <v>0</v>
      </c>
      <c r="J11" s="324">
        <f>'Lab Emissions'!Q11</f>
        <v>288.69</v>
      </c>
      <c r="K11" s="324">
        <f>'In Service Emissions'!K12</f>
        <v>48.563128775117981</v>
      </c>
      <c r="L11" s="324">
        <f>'Cold Start'!D11:D12</f>
        <v>50</v>
      </c>
      <c r="M11" s="324">
        <f>'Drawbar Pull'!I13</f>
        <v>26.402640264026406</v>
      </c>
      <c r="N11" s="325">
        <f>'Penalties and Bonuses'!K11</f>
        <v>0</v>
      </c>
      <c r="O11" s="144">
        <f t="shared" si="0"/>
        <v>928.91336866428094</v>
      </c>
      <c r="R11" s="48"/>
    </row>
    <row r="12" spans="1:18" ht="47.4" thickBot="1">
      <c r="A12" s="327">
        <v>112</v>
      </c>
      <c r="B12" s="323" t="s">
        <v>183</v>
      </c>
      <c r="C12" s="318">
        <f>Paper!K31</f>
        <v>73.5</v>
      </c>
      <c r="D12" s="331">
        <f>Static!C13</f>
        <v>50</v>
      </c>
      <c r="E12" s="367">
        <f>MSRP!M15</f>
        <v>27.498883513211759</v>
      </c>
      <c r="F12" s="368">
        <f>'Fuel Economy-Endurance  '!F18</f>
        <v>0</v>
      </c>
      <c r="G12" s="331">
        <f>Oral!AZ12</f>
        <v>57.555555555555557</v>
      </c>
      <c r="H12" s="318">
        <f>Noise!H13</f>
        <v>0</v>
      </c>
      <c r="I12" s="367">
        <f>'Acceleration+ Load'!F13</f>
        <v>0</v>
      </c>
      <c r="J12" s="331">
        <f>'Lab Emissions'!Q12</f>
        <v>0</v>
      </c>
      <c r="K12" s="331">
        <f>'In Service Emissions'!K14</f>
        <v>0</v>
      </c>
      <c r="L12" s="331">
        <f>'Cold Start'!D12:D13</f>
        <v>0</v>
      </c>
      <c r="M12" s="331">
        <f>'Drawbar Pull'!I14</f>
        <v>0</v>
      </c>
      <c r="N12" s="332">
        <f>'Penalties and Bonuses'!K12</f>
        <v>0</v>
      </c>
      <c r="O12" s="144">
        <f t="shared" ref="O12" si="1">SUM(C12:N12)</f>
        <v>208.55443906876729</v>
      </c>
      <c r="R12" s="48"/>
    </row>
    <row r="13" spans="1:18" ht="13.8" thickTop="1">
      <c r="B13" s="2" t="s">
        <v>37</v>
      </c>
      <c r="C13" s="329" t="s">
        <v>37</v>
      </c>
      <c r="D13" s="329" t="s">
        <v>37</v>
      </c>
      <c r="E13" s="329" t="s">
        <v>37</v>
      </c>
      <c r="F13" s="329" t="s">
        <v>37</v>
      </c>
      <c r="G13" s="321" t="s">
        <v>37</v>
      </c>
      <c r="H13" s="329" t="s">
        <v>37</v>
      </c>
      <c r="I13" s="329" t="s">
        <v>37</v>
      </c>
      <c r="J13" s="329" t="s">
        <v>37</v>
      </c>
      <c r="K13" s="329" t="s">
        <v>37</v>
      </c>
      <c r="L13" s="329" t="s">
        <v>37</v>
      </c>
      <c r="M13" s="329" t="s">
        <v>37</v>
      </c>
      <c r="N13" s="330"/>
    </row>
    <row r="14" spans="1:18">
      <c r="B14" s="19"/>
      <c r="C14" s="19"/>
      <c r="D14" s="16" t="s">
        <v>17</v>
      </c>
      <c r="E14" s="16"/>
      <c r="F14" s="16"/>
      <c r="G14" s="29"/>
      <c r="H14" s="29"/>
      <c r="I14" s="53"/>
      <c r="L14" s="43"/>
      <c r="M14" s="30"/>
      <c r="N14" s="9"/>
    </row>
    <row r="15" spans="1:18">
      <c r="B15" s="19"/>
      <c r="C15" s="19"/>
      <c r="D15" s="19" t="s">
        <v>19</v>
      </c>
      <c r="E15" s="5"/>
      <c r="F15" s="5"/>
      <c r="G15" s="19" t="s">
        <v>20</v>
      </c>
      <c r="H15" s="5" t="s">
        <v>22</v>
      </c>
      <c r="L15" s="43"/>
      <c r="M15" s="30"/>
      <c r="N15" s="9"/>
    </row>
    <row r="16" spans="1:18">
      <c r="B16" s="19"/>
      <c r="C16" s="19"/>
      <c r="D16" s="19" t="s">
        <v>18</v>
      </c>
      <c r="E16" s="5"/>
      <c r="F16" s="5"/>
      <c r="G16" s="19" t="s">
        <v>8</v>
      </c>
      <c r="H16" s="5" t="s">
        <v>21</v>
      </c>
      <c r="L16" s="43"/>
      <c r="M16" s="30"/>
      <c r="N16" s="9"/>
    </row>
    <row r="17" spans="1:14" ht="21">
      <c r="A17" s="327">
        <v>101</v>
      </c>
      <c r="B17" s="430" t="s">
        <v>149</v>
      </c>
      <c r="C17" s="63"/>
      <c r="D17" s="432" t="s">
        <v>170</v>
      </c>
      <c r="E17" s="215"/>
      <c r="F17" s="215"/>
      <c r="G17" s="16">
        <f t="shared" ref="G17:G25" si="2">SUM(C4:N4)</f>
        <v>912.32420854173358</v>
      </c>
      <c r="H17" s="5">
        <v>4</v>
      </c>
      <c r="I17" s="434" t="s">
        <v>225</v>
      </c>
      <c r="L17" s="43"/>
      <c r="M17" s="30"/>
      <c r="N17" s="18"/>
    </row>
    <row r="18" spans="1:14" ht="23.4">
      <c r="A18" s="327">
        <v>102</v>
      </c>
      <c r="B18" s="431" t="s">
        <v>151</v>
      </c>
      <c r="C18" s="63"/>
      <c r="D18" s="432" t="str">
        <f t="shared" ref="D18:D24" si="3">IF(AND(J5&gt;0,H5&gt;0,I5&gt;0),(C5+G5+D5),"Not Eligible")</f>
        <v>Not Eligible</v>
      </c>
      <c r="E18" s="215"/>
      <c r="F18" s="215"/>
      <c r="G18" s="16">
        <f t="shared" si="2"/>
        <v>764.85735115067121</v>
      </c>
      <c r="H18" s="5">
        <v>3</v>
      </c>
      <c r="I18" s="434"/>
      <c r="L18" s="43"/>
      <c r="M18" s="30"/>
      <c r="N18" s="18"/>
    </row>
    <row r="19" spans="1:14" ht="46.8">
      <c r="A19" s="327">
        <v>103</v>
      </c>
      <c r="B19" s="431" t="s">
        <v>147</v>
      </c>
      <c r="C19" s="63"/>
      <c r="D19" s="432" t="s">
        <v>170</v>
      </c>
      <c r="E19" s="215"/>
      <c r="F19" s="215"/>
      <c r="G19" s="16">
        <f t="shared" si="2"/>
        <v>635.41679621297931</v>
      </c>
      <c r="H19" s="5">
        <v>6</v>
      </c>
      <c r="I19" s="434" t="s">
        <v>225</v>
      </c>
      <c r="L19" s="43"/>
      <c r="M19" s="30"/>
      <c r="N19" s="18"/>
    </row>
    <row r="20" spans="1:14" ht="23.4">
      <c r="A20" s="327">
        <v>104</v>
      </c>
      <c r="B20" s="431" t="s">
        <v>148</v>
      </c>
      <c r="C20" s="63"/>
      <c r="D20" s="432" t="str">
        <f t="shared" si="3"/>
        <v>Not Eligible</v>
      </c>
      <c r="E20" s="215"/>
      <c r="F20" s="215"/>
      <c r="G20" s="16">
        <f t="shared" si="2"/>
        <v>713.99195164034984</v>
      </c>
      <c r="H20" s="5">
        <v>5</v>
      </c>
      <c r="I20" s="434" t="s">
        <v>226</v>
      </c>
      <c r="L20" s="43"/>
      <c r="M20" s="30"/>
      <c r="N20" s="18"/>
    </row>
    <row r="21" spans="1:14" ht="23.4">
      <c r="A21" s="327">
        <v>106</v>
      </c>
      <c r="B21" s="431" t="s">
        <v>152</v>
      </c>
      <c r="C21" s="63"/>
      <c r="D21" s="433" t="s">
        <v>170</v>
      </c>
      <c r="E21" s="215"/>
      <c r="F21" s="215"/>
      <c r="G21" s="16">
        <f t="shared" si="2"/>
        <v>218.37362148295057</v>
      </c>
      <c r="H21" s="5">
        <v>9</v>
      </c>
      <c r="I21" s="434" t="s">
        <v>225</v>
      </c>
      <c r="L21" s="43"/>
      <c r="M21" s="30"/>
      <c r="N21" s="18"/>
    </row>
    <row r="22" spans="1:14" ht="46.8">
      <c r="A22" s="327">
        <v>107</v>
      </c>
      <c r="B22" s="431" t="s">
        <v>153</v>
      </c>
      <c r="C22" s="63"/>
      <c r="D22" s="433">
        <f t="shared" si="3"/>
        <v>188.70531400966183</v>
      </c>
      <c r="E22" s="215"/>
      <c r="F22" s="215"/>
      <c r="G22" s="16">
        <f t="shared" si="2"/>
        <v>902.33386410995058</v>
      </c>
      <c r="H22" s="5">
        <v>2</v>
      </c>
      <c r="I22" s="434"/>
      <c r="L22" s="43"/>
      <c r="M22" s="30"/>
      <c r="N22" s="18"/>
    </row>
    <row r="23" spans="1:14" ht="23.4">
      <c r="A23" s="327">
        <v>108</v>
      </c>
      <c r="B23" s="431" t="s">
        <v>150</v>
      </c>
      <c r="C23" s="63"/>
      <c r="D23" s="433" t="s">
        <v>170</v>
      </c>
      <c r="E23" s="215"/>
      <c r="F23" s="215"/>
      <c r="G23" s="16">
        <f t="shared" si="2"/>
        <v>428.17829647264369</v>
      </c>
      <c r="H23" s="5">
        <v>7</v>
      </c>
      <c r="I23" s="434" t="s">
        <v>225</v>
      </c>
      <c r="L23" s="43"/>
      <c r="M23" s="30"/>
      <c r="N23" s="18"/>
    </row>
    <row r="24" spans="1:14" ht="23.4">
      <c r="A24" s="327">
        <v>111</v>
      </c>
      <c r="B24" s="431" t="s">
        <v>182</v>
      </c>
      <c r="C24" s="63"/>
      <c r="D24" s="433" t="str">
        <f t="shared" si="3"/>
        <v>Not Eligible</v>
      </c>
      <c r="E24" s="215"/>
      <c r="F24" s="215"/>
      <c r="G24" s="16">
        <f t="shared" si="2"/>
        <v>928.91336866428094</v>
      </c>
      <c r="H24" s="5">
        <v>1</v>
      </c>
      <c r="I24" s="434"/>
      <c r="L24" s="43"/>
      <c r="M24" s="30"/>
      <c r="N24" s="18"/>
    </row>
    <row r="25" spans="1:14" ht="46.8">
      <c r="A25" s="327">
        <v>112</v>
      </c>
      <c r="B25" s="431" t="s">
        <v>183</v>
      </c>
      <c r="C25" s="63"/>
      <c r="D25" s="433" t="s">
        <v>170</v>
      </c>
      <c r="E25" s="215"/>
      <c r="F25" s="215"/>
      <c r="G25" s="16">
        <f t="shared" si="2"/>
        <v>208.55443906876729</v>
      </c>
      <c r="H25" s="5">
        <v>9</v>
      </c>
      <c r="I25" s="434" t="s">
        <v>225</v>
      </c>
      <c r="L25" s="43"/>
      <c r="M25" s="30"/>
      <c r="N25" s="18"/>
    </row>
    <row r="26" spans="1:14" s="53" customFormat="1">
      <c r="B26" s="96"/>
      <c r="C26" s="120"/>
      <c r="D26" s="120"/>
      <c r="E26" s="121"/>
      <c r="F26" s="121"/>
      <c r="G26" s="119"/>
      <c r="H26" s="122"/>
      <c r="I26" s="54"/>
      <c r="J26" s="32"/>
      <c r="K26" s="100"/>
      <c r="L26" s="54"/>
      <c r="M26" s="54"/>
      <c r="N26" s="54"/>
    </row>
    <row r="27" spans="1:14" s="53" customFormat="1" ht="30.45" customHeight="1">
      <c r="B27" s="303" t="s">
        <v>177</v>
      </c>
      <c r="C27" s="444" t="s">
        <v>182</v>
      </c>
      <c r="D27" s="445"/>
      <c r="E27" s="445"/>
      <c r="F27" s="445"/>
      <c r="G27" s="445"/>
      <c r="H27" s="446"/>
      <c r="I27" s="54"/>
      <c r="J27" s="32"/>
      <c r="K27" s="100"/>
      <c r="L27" s="54"/>
      <c r="M27" s="54"/>
      <c r="N27" s="54"/>
    </row>
    <row r="28" spans="1:14" s="53" customFormat="1" ht="31.2">
      <c r="B28" s="303" t="s">
        <v>176</v>
      </c>
      <c r="C28" s="447" t="s">
        <v>153</v>
      </c>
      <c r="D28" s="448"/>
      <c r="E28" s="448"/>
      <c r="F28" s="448"/>
      <c r="G28" s="448"/>
      <c r="H28" s="449"/>
      <c r="I28" s="54"/>
      <c r="J28" s="32"/>
      <c r="K28" s="100"/>
      <c r="L28" s="54"/>
      <c r="M28" s="54"/>
      <c r="N28" s="54"/>
    </row>
    <row r="29" spans="1:14" s="53" customFormat="1" ht="15.6">
      <c r="B29" s="304" t="s">
        <v>221</v>
      </c>
      <c r="C29" s="450" t="s">
        <v>151</v>
      </c>
      <c r="D29" s="451"/>
      <c r="E29" s="451"/>
      <c r="F29" s="451"/>
      <c r="G29" s="451"/>
      <c r="H29" s="452"/>
      <c r="I29" s="33"/>
      <c r="J29" s="128"/>
      <c r="K29" s="100"/>
      <c r="L29" s="33"/>
      <c r="M29" s="33"/>
      <c r="N29" s="33"/>
    </row>
    <row r="30" spans="1:14" s="53" customFormat="1" ht="16.95" customHeight="1">
      <c r="B30" s="304" t="s">
        <v>180</v>
      </c>
      <c r="C30" s="458" t="s">
        <v>153</v>
      </c>
      <c r="D30" s="458"/>
      <c r="E30" s="458"/>
      <c r="F30" s="436"/>
      <c r="G30" s="437"/>
      <c r="H30" s="438"/>
      <c r="I30" s="33"/>
      <c r="J30" s="128"/>
      <c r="K30" s="100"/>
      <c r="L30" s="33"/>
      <c r="M30" s="33"/>
      <c r="N30" s="33"/>
    </row>
    <row r="31" spans="1:14" s="53" customFormat="1" ht="19.5" customHeight="1">
      <c r="B31" s="305" t="s">
        <v>171</v>
      </c>
      <c r="C31" s="456" t="s">
        <v>148</v>
      </c>
      <c r="D31" s="456"/>
      <c r="E31" s="456"/>
      <c r="F31" s="436"/>
      <c r="G31" s="437"/>
      <c r="H31" s="438"/>
      <c r="I31" s="33"/>
      <c r="J31" s="128"/>
      <c r="K31" s="100"/>
      <c r="L31" s="33"/>
      <c r="M31" s="33"/>
      <c r="N31" s="33"/>
    </row>
    <row r="32" spans="1:14" s="53" customFormat="1" ht="14.4" customHeight="1">
      <c r="B32" s="304" t="s">
        <v>181</v>
      </c>
      <c r="C32" s="457" t="s">
        <v>153</v>
      </c>
      <c r="D32" s="457"/>
      <c r="E32" s="457"/>
      <c r="F32" s="436"/>
      <c r="G32" s="439"/>
      <c r="H32" s="439"/>
      <c r="I32" s="33"/>
      <c r="J32" s="128"/>
      <c r="K32" s="100"/>
      <c r="L32" s="33"/>
      <c r="M32" s="33"/>
      <c r="N32" s="33"/>
    </row>
    <row r="33" spans="2:14" s="53" customFormat="1" ht="14.4" customHeight="1">
      <c r="B33" s="304" t="s">
        <v>172</v>
      </c>
      <c r="C33" s="457" t="s">
        <v>148</v>
      </c>
      <c r="D33" s="457"/>
      <c r="E33" s="457"/>
      <c r="F33" s="436"/>
      <c r="G33" s="440"/>
      <c r="H33" s="439"/>
      <c r="I33" s="33"/>
      <c r="J33" s="128"/>
      <c r="K33" s="100"/>
      <c r="L33" s="33"/>
      <c r="M33" s="33"/>
      <c r="N33" s="33"/>
    </row>
    <row r="34" spans="2:14" s="53" customFormat="1" ht="14.4" customHeight="1">
      <c r="B34" s="303" t="s">
        <v>173</v>
      </c>
      <c r="C34" s="461" t="s">
        <v>153</v>
      </c>
      <c r="D34" s="461"/>
      <c r="E34" s="461"/>
      <c r="F34" s="436"/>
      <c r="G34" s="440"/>
      <c r="H34" s="439"/>
      <c r="I34" s="33"/>
      <c r="J34" s="128"/>
      <c r="K34" s="100"/>
      <c r="L34" s="33"/>
      <c r="M34" s="33"/>
      <c r="N34" s="33"/>
    </row>
    <row r="35" spans="2:14" ht="14.4" customHeight="1">
      <c r="B35" s="305" t="s">
        <v>174</v>
      </c>
      <c r="C35" s="459" t="s">
        <v>203</v>
      </c>
      <c r="D35" s="459"/>
      <c r="E35" s="459"/>
      <c r="F35" s="436"/>
      <c r="G35" s="439"/>
      <c r="H35" s="439"/>
    </row>
    <row r="36" spans="2:14" ht="31.2">
      <c r="B36" s="306" t="s">
        <v>178</v>
      </c>
      <c r="C36" s="459" t="str">
        <f>B23</f>
        <v>North Dakota State Univ</v>
      </c>
      <c r="D36" s="459"/>
      <c r="E36" s="459"/>
      <c r="F36" s="442" t="str">
        <f>B24</f>
        <v>Michigan Tech Univ</v>
      </c>
      <c r="G36" s="441"/>
      <c r="H36" s="441"/>
    </row>
    <row r="37" spans="2:14" ht="31.2">
      <c r="B37" s="306" t="s">
        <v>175</v>
      </c>
      <c r="C37" s="460" t="s">
        <v>222</v>
      </c>
      <c r="D37" s="460"/>
      <c r="E37" s="460"/>
      <c r="F37" s="436"/>
      <c r="G37" s="441"/>
      <c r="H37" s="441"/>
    </row>
    <row r="38" spans="2:14" ht="19.8" customHeight="1">
      <c r="B38" s="307" t="s">
        <v>179</v>
      </c>
      <c r="C38" s="453" t="s">
        <v>153</v>
      </c>
      <c r="D38" s="454"/>
      <c r="E38" s="454"/>
      <c r="F38" s="454"/>
      <c r="G38" s="454"/>
      <c r="H38" s="455"/>
    </row>
    <row r="39" spans="2:14" s="1" customFormat="1" ht="14.4">
      <c r="B39" s="200"/>
      <c r="C39" s="212"/>
      <c r="D39" s="16"/>
      <c r="E39" s="24"/>
      <c r="F39" s="63"/>
      <c r="J39" s="130"/>
      <c r="K39" s="49"/>
    </row>
    <row r="40" spans="2:14" s="1" customFormat="1">
      <c r="B40" s="131"/>
      <c r="C40" s="213"/>
      <c r="D40" s="214"/>
      <c r="J40" s="130"/>
      <c r="K40" s="49"/>
    </row>
    <row r="41" spans="2:14" s="1" customFormat="1">
      <c r="B41" s="131"/>
      <c r="D41" s="49"/>
      <c r="J41" s="130"/>
      <c r="K41" s="49"/>
    </row>
    <row r="42" spans="2:14" s="1" customFormat="1">
      <c r="B42" s="131"/>
      <c r="D42" s="49"/>
      <c r="J42" s="130"/>
      <c r="K42" s="49"/>
    </row>
    <row r="43" spans="2:14" s="1" customFormat="1">
      <c r="B43" s="131"/>
      <c r="D43" s="49"/>
      <c r="J43" s="130"/>
      <c r="K43" s="49"/>
    </row>
    <row r="44" spans="2:14" s="1" customFormat="1">
      <c r="B44" s="131"/>
      <c r="D44" s="49"/>
      <c r="J44" s="130"/>
      <c r="K44" s="49"/>
    </row>
    <row r="45" spans="2:14" s="1" customFormat="1">
      <c r="B45" s="131"/>
      <c r="D45" s="49"/>
      <c r="J45" s="130"/>
      <c r="K45" s="49"/>
    </row>
    <row r="46" spans="2:14" s="1" customFormat="1">
      <c r="B46" s="131"/>
      <c r="D46" s="49"/>
      <c r="J46" s="130"/>
      <c r="K46" s="49"/>
    </row>
  </sheetData>
  <mergeCells count="12">
    <mergeCell ref="C27:H27"/>
    <mergeCell ref="C28:H28"/>
    <mergeCell ref="C29:H29"/>
    <mergeCell ref="C38:H38"/>
    <mergeCell ref="C31:E31"/>
    <mergeCell ref="C32:E32"/>
    <mergeCell ref="C30:E30"/>
    <mergeCell ref="C33:E33"/>
    <mergeCell ref="C36:E36"/>
    <mergeCell ref="C37:E37"/>
    <mergeCell ref="C34:E34"/>
    <mergeCell ref="C35:E35"/>
  </mergeCells>
  <phoneticPr fontId="20" type="noConversion"/>
  <printOptions gridLines="1"/>
  <pageMargins left="0.75" right="0.75" top="1" bottom="1" header="0.5" footer="0.5"/>
  <pageSetup scale="59" orientation="landscape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I88"/>
  <sheetViews>
    <sheetView zoomScale="70" zoomScaleNormal="70" zoomScalePageLayoutView="125" workbookViewId="0">
      <selection activeCell="L11" sqref="L11"/>
    </sheetView>
  </sheetViews>
  <sheetFormatPr defaultColWidth="8.88671875" defaultRowHeight="13.2"/>
  <cols>
    <col min="1" max="1" width="47" customWidth="1"/>
    <col min="2" max="2" width="12.6640625" customWidth="1"/>
    <col min="3" max="3" width="12.44140625" customWidth="1"/>
    <col min="4" max="4" width="8.44140625" customWidth="1"/>
    <col min="5" max="5" width="13.44140625" customWidth="1"/>
    <col min="6" max="6" width="15.44140625" customWidth="1"/>
    <col min="7" max="7" width="9.33203125" customWidth="1"/>
    <col min="8" max="8" width="11.88671875" customWidth="1"/>
    <col min="9" max="9" width="9.109375" customWidth="1"/>
    <col min="11" max="11" width="10" style="165" customWidth="1"/>
    <col min="12" max="12" width="29.77734375" style="3" customWidth="1"/>
    <col min="13" max="13" width="10.6640625" style="3" customWidth="1"/>
    <col min="14" max="14" width="8.6640625" style="3" customWidth="1"/>
    <col min="15" max="15" width="3" style="3" customWidth="1"/>
    <col min="16" max="22" width="8.6640625" style="36" customWidth="1"/>
    <col min="23" max="23" width="10" style="36" customWidth="1"/>
    <col min="24" max="25" width="8.6640625" style="36" customWidth="1"/>
    <col min="26" max="26" width="8.6640625" customWidth="1"/>
    <col min="27" max="27" width="2.109375" customWidth="1"/>
    <col min="28" max="28" width="16.33203125" style="3" customWidth="1"/>
    <col min="29" max="29" width="12.6640625" style="3" customWidth="1"/>
    <col min="30" max="33" width="8.6640625" customWidth="1"/>
  </cols>
  <sheetData>
    <row r="1" spans="1:35" ht="17.399999999999999">
      <c r="A1" s="90" t="s">
        <v>190</v>
      </c>
      <c r="B1" s="20"/>
      <c r="C1" s="20"/>
      <c r="E1" s="20" t="s">
        <v>77</v>
      </c>
      <c r="F1" s="129">
        <f>MIN(B6:B12)</f>
        <v>1.9</v>
      </c>
      <c r="H1" s="20" t="s">
        <v>79</v>
      </c>
      <c r="I1" s="20"/>
      <c r="J1" s="171">
        <f>MIN(H6:H11)</f>
        <v>17.470039946737685</v>
      </c>
      <c r="K1" s="156"/>
      <c r="L1" s="25"/>
      <c r="M1" s="25"/>
      <c r="N1" s="25"/>
      <c r="O1" s="25"/>
      <c r="P1" s="91"/>
      <c r="Q1" s="65"/>
      <c r="R1" s="66"/>
      <c r="S1" s="66"/>
      <c r="T1" s="66"/>
      <c r="U1" s="66"/>
      <c r="V1" s="66"/>
      <c r="W1" s="66"/>
      <c r="X1" s="66"/>
      <c r="Y1" s="66"/>
      <c r="Z1" s="67"/>
      <c r="AA1" s="68"/>
      <c r="AB1" s="69"/>
      <c r="AC1" s="49"/>
      <c r="AD1" s="1"/>
      <c r="AE1" s="1"/>
      <c r="AF1" s="1"/>
    </row>
    <row r="2" spans="1:35">
      <c r="A2" s="62"/>
      <c r="B2" s="23"/>
      <c r="C2" s="23"/>
      <c r="E2" s="23" t="s">
        <v>78</v>
      </c>
      <c r="F2" s="129">
        <f>MAX(B6:B12)</f>
        <v>4.16</v>
      </c>
      <c r="H2" s="23" t="s">
        <v>80</v>
      </c>
      <c r="I2" s="23"/>
      <c r="J2" s="170">
        <f>MAX(H6:H11)</f>
        <v>34.39473684210526</v>
      </c>
      <c r="K2" s="157"/>
      <c r="L2" s="92"/>
      <c r="M2" s="42"/>
      <c r="N2" s="42"/>
      <c r="O2" s="42"/>
      <c r="P2" s="93"/>
      <c r="Q2" s="72"/>
      <c r="R2" s="72"/>
      <c r="S2" s="66"/>
      <c r="T2" s="66"/>
      <c r="U2" s="66"/>
      <c r="V2" s="66"/>
      <c r="W2" s="66"/>
      <c r="X2" s="66"/>
      <c r="Y2" s="66"/>
      <c r="Z2" s="67"/>
      <c r="AA2" s="68"/>
      <c r="AB2" s="69"/>
      <c r="AC2" s="49"/>
      <c r="AD2" s="1"/>
      <c r="AE2" s="1"/>
      <c r="AF2" s="1"/>
    </row>
    <row r="3" spans="1:35">
      <c r="A3" s="198"/>
      <c r="B3" s="15" t="s">
        <v>69</v>
      </c>
      <c r="C3" s="22"/>
      <c r="D3" s="22"/>
      <c r="E3" s="22"/>
      <c r="F3" s="22"/>
      <c r="G3" s="22"/>
      <c r="H3" s="22"/>
      <c r="I3" s="22"/>
      <c r="J3" s="15"/>
      <c r="K3" s="158"/>
      <c r="L3" s="25"/>
      <c r="M3" s="22"/>
      <c r="N3" s="22"/>
      <c r="O3" s="22"/>
      <c r="P3" s="94"/>
      <c r="Q3" s="74"/>
      <c r="R3" s="72"/>
      <c r="S3" s="66"/>
      <c r="T3" s="66"/>
      <c r="U3" s="66"/>
      <c r="V3" s="66"/>
      <c r="W3" s="66"/>
      <c r="X3" s="66"/>
      <c r="Y3" s="66"/>
      <c r="Z3" s="67"/>
      <c r="AA3" s="68"/>
      <c r="AB3" s="69"/>
      <c r="AC3" s="49"/>
      <c r="AD3" s="1"/>
      <c r="AE3" s="1"/>
      <c r="AF3" s="1"/>
    </row>
    <row r="4" spans="1:35">
      <c r="A4" s="15"/>
      <c r="B4" s="15"/>
      <c r="C4" s="22"/>
      <c r="D4" s="22"/>
      <c r="E4" s="22" t="s">
        <v>37</v>
      </c>
      <c r="F4" s="22"/>
      <c r="G4" s="22"/>
      <c r="H4" s="22"/>
      <c r="I4" s="22"/>
      <c r="J4" s="22"/>
      <c r="K4" s="158"/>
      <c r="L4" s="25"/>
      <c r="M4" s="22"/>
      <c r="N4" s="22"/>
      <c r="O4" s="22"/>
      <c r="P4" s="94"/>
      <c r="Q4" s="74"/>
      <c r="R4" s="72"/>
      <c r="S4" s="66"/>
      <c r="T4" s="66"/>
      <c r="U4" s="66"/>
      <c r="V4" s="66"/>
      <c r="W4" s="66"/>
      <c r="X4" s="66"/>
      <c r="Y4" s="66"/>
      <c r="Z4" s="67"/>
      <c r="AA4" s="68"/>
      <c r="AB4" s="69"/>
      <c r="AC4" s="49"/>
      <c r="AD4" s="1"/>
      <c r="AE4" s="1"/>
      <c r="AF4" s="1"/>
    </row>
    <row r="5" spans="1:35" ht="26.4">
      <c r="A5" s="387"/>
      <c r="B5" s="412" t="s">
        <v>124</v>
      </c>
      <c r="C5" s="393" t="s">
        <v>68</v>
      </c>
      <c r="D5" s="389" t="s">
        <v>23</v>
      </c>
      <c r="E5" s="389"/>
      <c r="F5" s="412" t="s">
        <v>129</v>
      </c>
      <c r="G5" s="412" t="s">
        <v>88</v>
      </c>
      <c r="H5" s="393" t="s">
        <v>116</v>
      </c>
      <c r="I5" s="393" t="s">
        <v>41</v>
      </c>
      <c r="J5" s="393" t="s">
        <v>23</v>
      </c>
      <c r="K5" s="411" t="s">
        <v>49</v>
      </c>
      <c r="L5" s="413" t="s">
        <v>89</v>
      </c>
      <c r="M5" s="388"/>
      <c r="N5" s="390"/>
      <c r="O5" s="390"/>
      <c r="P5" s="408"/>
      <c r="Q5" s="396"/>
      <c r="R5" s="396"/>
      <c r="S5" s="396"/>
      <c r="T5" s="396"/>
      <c r="U5" s="396"/>
      <c r="V5" s="396"/>
      <c r="W5" s="396"/>
      <c r="X5" s="396"/>
      <c r="Y5" s="396"/>
      <c r="Z5" s="395"/>
      <c r="AA5" s="398"/>
      <c r="AB5" s="399"/>
      <c r="AC5" s="387"/>
      <c r="AD5" s="387"/>
      <c r="AE5" s="387"/>
      <c r="AF5" s="387"/>
      <c r="AG5" s="387"/>
      <c r="AH5" s="387"/>
      <c r="AI5" s="387"/>
    </row>
    <row r="6" spans="1:35" ht="21">
      <c r="A6" s="416" t="s">
        <v>149</v>
      </c>
      <c r="B6" s="382">
        <v>2.68</v>
      </c>
      <c r="C6" s="422">
        <f>$B$17*B6+$B$18</f>
        <v>33.606194690265475</v>
      </c>
      <c r="D6" s="420">
        <f>RANK(C6,$C$6:$C$12)</f>
        <v>2</v>
      </c>
      <c r="E6" s="383"/>
      <c r="F6" s="384">
        <v>5.3999999999999999E-2</v>
      </c>
      <c r="G6" s="386">
        <v>1.3069999999999999</v>
      </c>
      <c r="H6" s="418">
        <f>G6/F6</f>
        <v>24.203703703703702</v>
      </c>
      <c r="I6" s="419">
        <f>$F$17*H6+$F$18</f>
        <v>19.893011374428433</v>
      </c>
      <c r="J6" s="420">
        <f>RANK(I6,$I$6:$I$12)</f>
        <v>3</v>
      </c>
      <c r="K6" s="421">
        <f>C6+I6</f>
        <v>53.499206064693908</v>
      </c>
      <c r="L6" s="414"/>
      <c r="M6" s="410"/>
      <c r="N6" s="390"/>
      <c r="O6" s="390"/>
      <c r="P6" s="409"/>
      <c r="Q6" s="396"/>
      <c r="R6" s="396"/>
      <c r="S6" s="396"/>
      <c r="T6" s="396"/>
      <c r="U6" s="396"/>
      <c r="V6" s="396"/>
      <c r="W6" s="396"/>
      <c r="X6" s="396"/>
      <c r="Y6" s="396"/>
      <c r="Z6" s="395"/>
      <c r="AA6" s="398"/>
      <c r="AB6" s="399"/>
      <c r="AC6" s="387"/>
      <c r="AD6" s="387"/>
      <c r="AE6" s="387"/>
      <c r="AF6" s="387"/>
      <c r="AG6" s="387"/>
      <c r="AH6" s="391"/>
      <c r="AI6" s="391"/>
    </row>
    <row r="7" spans="1:35" ht="23.4">
      <c r="A7" s="417" t="s">
        <v>151</v>
      </c>
      <c r="B7" s="381">
        <v>4.16</v>
      </c>
      <c r="C7" s="422">
        <f t="shared" ref="C7:C9" si="0">$B$17*B7+$B$18</f>
        <v>2.5</v>
      </c>
      <c r="D7" s="420">
        <f>RANK(C7,$C$6:$C$12)</f>
        <v>4</v>
      </c>
      <c r="E7" s="423"/>
      <c r="F7" s="380">
        <v>7.51E-2</v>
      </c>
      <c r="G7" s="385">
        <v>1.3120000000000001</v>
      </c>
      <c r="H7" s="418">
        <f t="shared" ref="H7:H9" si="1">G7/F7</f>
        <v>17.470039946737685</v>
      </c>
      <c r="I7" s="419">
        <f t="shared" ref="I7:I9" si="2">$F$17*H7+$F$18</f>
        <v>0</v>
      </c>
      <c r="J7" s="420">
        <f>RANK(I7,$I$6:$I$12)</f>
        <v>4</v>
      </c>
      <c r="K7" s="421">
        <f t="shared" ref="K7:K9" si="3">C7+I7</f>
        <v>2.5</v>
      </c>
      <c r="L7" s="414"/>
      <c r="M7" s="410"/>
      <c r="N7" s="390"/>
      <c r="O7" s="390"/>
      <c r="P7" s="408"/>
      <c r="Q7" s="396"/>
      <c r="R7" s="396"/>
      <c r="S7" s="396"/>
      <c r="T7" s="396"/>
      <c r="U7" s="396"/>
      <c r="V7" s="396"/>
      <c r="W7" s="396"/>
      <c r="X7" s="396"/>
      <c r="Y7" s="396"/>
      <c r="Z7" s="395"/>
      <c r="AA7" s="398"/>
      <c r="AB7" s="399"/>
      <c r="AC7" s="387"/>
      <c r="AD7" s="387"/>
      <c r="AE7" s="387"/>
      <c r="AF7" s="387"/>
      <c r="AG7" s="387"/>
      <c r="AH7" s="391"/>
      <c r="AI7" s="391"/>
    </row>
    <row r="8" spans="1:35" ht="52.8">
      <c r="A8" s="417" t="s">
        <v>147</v>
      </c>
      <c r="B8" s="381">
        <v>1.9</v>
      </c>
      <c r="C8" s="422"/>
      <c r="D8" s="420"/>
      <c r="E8" s="423"/>
      <c r="F8" s="380">
        <v>4.7E-2</v>
      </c>
      <c r="G8" s="385">
        <v>1.304</v>
      </c>
      <c r="H8" s="418">
        <f t="shared" si="1"/>
        <v>27.74468085106383</v>
      </c>
      <c r="I8" s="419"/>
      <c r="J8" s="420"/>
      <c r="K8" s="421">
        <f t="shared" si="3"/>
        <v>0</v>
      </c>
      <c r="L8" s="424" t="s">
        <v>227</v>
      </c>
      <c r="M8" s="401"/>
      <c r="N8" s="402"/>
      <c r="O8" s="400"/>
      <c r="P8" s="405"/>
      <c r="Q8" s="405"/>
      <c r="R8" s="405"/>
      <c r="S8" s="405"/>
      <c r="T8" s="405"/>
      <c r="U8" s="405"/>
      <c r="V8" s="405"/>
      <c r="W8" s="405"/>
      <c r="X8" s="405"/>
      <c r="Y8" s="405"/>
      <c r="Z8" s="403"/>
      <c r="AA8" s="404"/>
      <c r="AB8" s="406"/>
      <c r="AC8" s="394"/>
      <c r="AD8" s="392"/>
      <c r="AE8" s="392"/>
      <c r="AF8" s="392"/>
      <c r="AG8" s="392"/>
      <c r="AH8" s="391"/>
      <c r="AI8" s="391"/>
    </row>
    <row r="9" spans="1:35" ht="23.4">
      <c r="A9" s="417" t="s">
        <v>148</v>
      </c>
      <c r="B9" s="381">
        <v>2.5499999999999998</v>
      </c>
      <c r="C9" s="422">
        <f t="shared" si="0"/>
        <v>36.338495575221238</v>
      </c>
      <c r="D9" s="420">
        <f>RANK(C9,$C$6:$C$12)</f>
        <v>1</v>
      </c>
      <c r="E9" s="423"/>
      <c r="F9" s="380">
        <v>3.7999999999999999E-2</v>
      </c>
      <c r="G9" s="385">
        <v>1.3069999999999999</v>
      </c>
      <c r="H9" s="418">
        <f t="shared" si="1"/>
        <v>34.39473684210526</v>
      </c>
      <c r="I9" s="419">
        <f t="shared" si="2"/>
        <v>49.999999999999993</v>
      </c>
      <c r="J9" s="420">
        <f>RANK(I9,$I$6:$I$12)</f>
        <v>1</v>
      </c>
      <c r="K9" s="421">
        <f t="shared" si="3"/>
        <v>86.338495575221231</v>
      </c>
      <c r="L9" s="414"/>
      <c r="M9" s="401"/>
      <c r="N9" s="402"/>
      <c r="O9" s="400"/>
      <c r="P9" s="405"/>
      <c r="Q9" s="405"/>
      <c r="R9" s="405"/>
      <c r="S9" s="405"/>
      <c r="T9" s="405"/>
      <c r="U9" s="405"/>
      <c r="V9" s="405"/>
      <c r="W9" s="405"/>
      <c r="X9" s="405"/>
      <c r="Y9" s="405"/>
      <c r="Z9" s="403"/>
      <c r="AA9" s="404"/>
      <c r="AB9" s="406"/>
      <c r="AC9" s="394"/>
      <c r="AD9" s="392"/>
      <c r="AE9" s="392"/>
      <c r="AF9" s="392"/>
      <c r="AG9" s="392"/>
      <c r="AH9" s="391"/>
      <c r="AI9" s="391"/>
    </row>
    <row r="10" spans="1:35" ht="23.4">
      <c r="A10" s="417" t="s">
        <v>152</v>
      </c>
      <c r="B10" s="381" t="s">
        <v>202</v>
      </c>
      <c r="C10" s="422"/>
      <c r="D10" s="420"/>
      <c r="E10" s="423"/>
      <c r="F10" s="380"/>
      <c r="G10" s="385"/>
      <c r="H10" s="418"/>
      <c r="I10" s="419"/>
      <c r="J10" s="420"/>
      <c r="K10" s="421"/>
      <c r="L10" s="414"/>
      <c r="M10" s="401"/>
      <c r="N10" s="402"/>
      <c r="O10" s="400"/>
      <c r="P10" s="405"/>
      <c r="Q10" s="405"/>
      <c r="R10" s="405"/>
      <c r="S10" s="405"/>
      <c r="T10" s="405"/>
      <c r="U10" s="405"/>
      <c r="V10" s="405"/>
      <c r="W10" s="405"/>
      <c r="X10" s="405"/>
      <c r="Y10" s="405"/>
      <c r="Z10" s="403"/>
      <c r="AA10" s="407"/>
      <c r="AB10" s="406"/>
      <c r="AC10" s="387"/>
      <c r="AD10" s="387"/>
      <c r="AE10" s="387"/>
      <c r="AF10" s="387"/>
      <c r="AG10" s="387"/>
      <c r="AH10" s="387"/>
      <c r="AI10" s="387"/>
    </row>
    <row r="11" spans="1:35" ht="46.8">
      <c r="A11" s="417" t="s">
        <v>153</v>
      </c>
      <c r="B11" s="381" t="s">
        <v>202</v>
      </c>
      <c r="C11" s="422"/>
      <c r="D11" s="420"/>
      <c r="E11" s="423"/>
      <c r="F11" s="380"/>
      <c r="G11" s="385"/>
      <c r="H11" s="418"/>
      <c r="I11" s="419"/>
      <c r="J11" s="420"/>
      <c r="K11" s="421"/>
      <c r="L11" s="414"/>
      <c r="M11" s="401"/>
      <c r="N11" s="402"/>
      <c r="O11" s="400"/>
      <c r="P11" s="405"/>
      <c r="Q11" s="405"/>
      <c r="R11" s="405"/>
      <c r="S11" s="405"/>
      <c r="T11" s="405"/>
      <c r="U11" s="405"/>
      <c r="V11" s="405"/>
      <c r="W11" s="405"/>
      <c r="X11" s="405"/>
      <c r="Y11" s="405"/>
      <c r="Z11" s="403"/>
      <c r="AA11" s="407"/>
      <c r="AB11" s="406"/>
      <c r="AC11" s="387"/>
      <c r="AD11" s="387"/>
      <c r="AE11" s="387"/>
      <c r="AF11" s="387"/>
      <c r="AG11" s="387"/>
      <c r="AH11" s="387"/>
      <c r="AI11" s="387"/>
    </row>
    <row r="12" spans="1:35" ht="23.4">
      <c r="A12" s="417" t="s">
        <v>182</v>
      </c>
      <c r="B12" s="381">
        <v>2.9870000000000001</v>
      </c>
      <c r="C12" s="422">
        <f>$B$17*B12+$B$18</f>
        <v>27.153761061946895</v>
      </c>
      <c r="D12" s="420">
        <f>RANK(C12,$C$6:$C$12)</f>
        <v>3</v>
      </c>
      <c r="E12" s="423"/>
      <c r="F12" s="380">
        <v>5.2999999999999999E-2</v>
      </c>
      <c r="G12" s="385">
        <v>1.31</v>
      </c>
      <c r="H12" s="418">
        <f>G12/F12</f>
        <v>24.716981132075475</v>
      </c>
      <c r="I12" s="419">
        <f>$F$17*H12+$F$18</f>
        <v>21.409367713171086</v>
      </c>
      <c r="J12" s="420">
        <f>RANK(I12,$I$6:$I$12)</f>
        <v>2</v>
      </c>
      <c r="K12" s="421">
        <f>C12+I12</f>
        <v>48.563128775117981</v>
      </c>
      <c r="L12" s="414"/>
      <c r="M12" s="401"/>
      <c r="N12" s="402"/>
      <c r="O12" s="400"/>
      <c r="P12" s="405"/>
      <c r="Q12" s="405"/>
      <c r="R12" s="405"/>
      <c r="S12" s="405"/>
      <c r="T12" s="405"/>
      <c r="U12" s="405"/>
      <c r="V12" s="405"/>
      <c r="W12" s="405"/>
      <c r="X12" s="405"/>
      <c r="Y12" s="405"/>
      <c r="Z12" s="403"/>
      <c r="AA12" s="407"/>
      <c r="AB12" s="406"/>
      <c r="AC12" s="387"/>
      <c r="AD12" s="387"/>
      <c r="AE12" s="387"/>
      <c r="AF12" s="387"/>
      <c r="AG12" s="387"/>
      <c r="AH12" s="387"/>
      <c r="AI12" s="387"/>
    </row>
    <row r="13" spans="1:35" ht="23.4">
      <c r="A13" s="417" t="s">
        <v>150</v>
      </c>
      <c r="B13" s="381" t="s">
        <v>202</v>
      </c>
      <c r="C13" s="422"/>
      <c r="D13" s="420"/>
      <c r="E13" s="423"/>
      <c r="F13" s="380"/>
      <c r="G13" s="385"/>
      <c r="H13" s="418"/>
      <c r="I13" s="419"/>
      <c r="J13" s="420"/>
      <c r="K13" s="421"/>
      <c r="L13" s="414"/>
      <c r="M13" s="401"/>
      <c r="N13" s="402"/>
      <c r="O13" s="400"/>
      <c r="P13" s="405"/>
      <c r="Q13" s="405"/>
      <c r="R13" s="405"/>
      <c r="S13" s="405"/>
      <c r="T13" s="405"/>
      <c r="U13" s="405"/>
      <c r="V13" s="405"/>
      <c r="W13" s="405"/>
      <c r="X13" s="405"/>
      <c r="Y13" s="405"/>
      <c r="Z13" s="403"/>
      <c r="AA13" s="407"/>
      <c r="AB13" s="406"/>
      <c r="AC13" s="387"/>
      <c r="AD13" s="387"/>
      <c r="AE13" s="387"/>
      <c r="AF13" s="387"/>
      <c r="AG13" s="387"/>
      <c r="AH13" s="387"/>
      <c r="AI13" s="387"/>
    </row>
    <row r="14" spans="1:35" ht="46.8">
      <c r="A14" s="417" t="s">
        <v>183</v>
      </c>
      <c r="B14" s="381" t="s">
        <v>202</v>
      </c>
      <c r="C14" s="429"/>
      <c r="D14" s="429"/>
      <c r="E14" s="429"/>
      <c r="F14" s="429"/>
      <c r="G14" s="429"/>
      <c r="H14" s="418"/>
      <c r="I14" s="419"/>
      <c r="J14" s="420"/>
      <c r="K14" s="421"/>
      <c r="L14" s="415"/>
      <c r="M14" s="397"/>
      <c r="N14" s="402"/>
      <c r="O14" s="400"/>
      <c r="P14" s="397"/>
      <c r="Q14" s="397"/>
      <c r="R14" s="397"/>
      <c r="S14" s="397"/>
      <c r="T14" s="397"/>
      <c r="U14" s="397"/>
      <c r="V14" s="397"/>
      <c r="W14" s="397"/>
      <c r="X14" s="397"/>
      <c r="Y14" s="397"/>
      <c r="Z14" s="403"/>
      <c r="AA14" s="407"/>
      <c r="AB14" s="406"/>
      <c r="AC14" s="387"/>
      <c r="AD14" s="387"/>
      <c r="AE14" s="387"/>
      <c r="AF14" s="387"/>
      <c r="AG14" s="387"/>
      <c r="AH14" s="387"/>
      <c r="AI14" s="387"/>
    </row>
    <row r="15" spans="1:35">
      <c r="A15" s="70"/>
      <c r="B15" s="79"/>
      <c r="C15" s="79"/>
      <c r="D15" s="79"/>
      <c r="E15" s="79"/>
      <c r="F15" s="79"/>
      <c r="G15" s="79"/>
      <c r="H15" s="79"/>
      <c r="I15" s="79"/>
      <c r="J15" s="253"/>
      <c r="K15" s="159"/>
      <c r="L15" s="79"/>
      <c r="M15" s="79"/>
      <c r="N15" s="80"/>
      <c r="O15" s="77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1"/>
      <c r="AA15" s="88"/>
      <c r="AB15" s="87"/>
    </row>
    <row r="16" spans="1:35">
      <c r="A16" s="70"/>
      <c r="B16" s="79"/>
      <c r="C16" s="79"/>
      <c r="D16" s="79"/>
      <c r="E16" s="79"/>
      <c r="G16" s="79"/>
      <c r="I16" s="79"/>
      <c r="J16" s="79"/>
      <c r="K16" s="159"/>
      <c r="L16" s="79"/>
      <c r="M16" s="79"/>
      <c r="N16" s="80"/>
      <c r="O16" s="77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1"/>
      <c r="AA16" s="88"/>
      <c r="AB16" s="87"/>
    </row>
    <row r="17" spans="1:28" ht="13.8">
      <c r="A17" s="70" t="s">
        <v>125</v>
      </c>
      <c r="B17" s="217">
        <f>(50-2.5)/(F1-F2)</f>
        <v>-21.017699115044245</v>
      </c>
      <c r="D17" s="102"/>
      <c r="E17" s="79"/>
      <c r="F17" s="217">
        <f>(50)/(J2-J1)</f>
        <v>2.9542626558757101</v>
      </c>
      <c r="G17" s="79"/>
      <c r="I17" s="79"/>
      <c r="J17" s="79"/>
      <c r="K17" s="159"/>
      <c r="L17" s="79"/>
      <c r="M17" s="71"/>
      <c r="N17" s="80"/>
      <c r="O17" s="77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81"/>
      <c r="AA17" s="88"/>
      <c r="AB17" s="87"/>
    </row>
    <row r="18" spans="1:28" ht="13.8">
      <c r="A18" s="70" t="s">
        <v>126</v>
      </c>
      <c r="B18" s="218">
        <f>2.5-(B17*F2)</f>
        <v>89.933628318584056</v>
      </c>
      <c r="D18" s="117" t="s">
        <v>37</v>
      </c>
      <c r="E18" s="71"/>
      <c r="F18" s="218">
        <f>-(F17*J1)</f>
        <v>-51.611086611304025</v>
      </c>
      <c r="G18" s="71"/>
      <c r="H18" s="71"/>
      <c r="I18" s="71"/>
      <c r="J18" s="71"/>
      <c r="K18" s="159"/>
      <c r="L18" s="71"/>
      <c r="M18" s="71"/>
      <c r="N18" s="80"/>
      <c r="O18" s="77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81"/>
      <c r="AA18" s="88"/>
      <c r="AB18" s="87"/>
    </row>
    <row r="19" spans="1:28" ht="13.8">
      <c r="A19" s="70"/>
      <c r="B19" s="71"/>
      <c r="C19" s="116"/>
      <c r="D19" s="116"/>
      <c r="E19" s="79"/>
      <c r="F19" s="79"/>
      <c r="G19" s="79"/>
      <c r="H19" s="79"/>
      <c r="I19" s="79"/>
      <c r="J19" s="79"/>
      <c r="K19" s="159"/>
      <c r="L19" s="79"/>
      <c r="M19" s="79"/>
      <c r="N19" s="80"/>
      <c r="O19" s="77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1"/>
      <c r="AA19" s="88"/>
      <c r="AB19" s="87"/>
    </row>
    <row r="20" spans="1:28">
      <c r="A20" s="70"/>
      <c r="B20" s="79"/>
      <c r="C20" s="79" t="s">
        <v>63</v>
      </c>
      <c r="D20" s="79"/>
      <c r="E20" s="79"/>
      <c r="F20" s="79"/>
      <c r="G20" s="79"/>
      <c r="H20" s="79"/>
      <c r="I20" s="79"/>
      <c r="J20" s="79"/>
      <c r="K20" s="159"/>
      <c r="L20" s="79"/>
      <c r="M20" s="79"/>
      <c r="N20" s="80"/>
      <c r="O20" s="77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1"/>
      <c r="AA20" s="88"/>
      <c r="AB20" s="87"/>
    </row>
    <row r="21" spans="1:28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159"/>
      <c r="L21" s="71"/>
      <c r="M21" s="71"/>
      <c r="N21" s="80"/>
      <c r="O21" s="77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81"/>
      <c r="AA21" s="88"/>
      <c r="AB21" s="87"/>
    </row>
    <row r="22" spans="1:28">
      <c r="A22" s="70"/>
      <c r="B22" s="89"/>
      <c r="C22" s="79"/>
      <c r="D22" s="79"/>
      <c r="E22" s="79"/>
      <c r="F22" s="79"/>
      <c r="G22" s="79"/>
      <c r="H22" s="79"/>
      <c r="I22" s="79"/>
      <c r="J22" s="79"/>
      <c r="K22" s="159"/>
      <c r="L22" s="79"/>
      <c r="M22" s="79"/>
      <c r="N22" s="80"/>
      <c r="O22" s="77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1"/>
      <c r="AA22" s="88"/>
      <c r="AB22" s="87"/>
    </row>
    <row r="23" spans="1:28">
      <c r="A23" s="70"/>
      <c r="B23" s="79"/>
      <c r="C23" s="79"/>
      <c r="D23" s="79"/>
      <c r="E23" s="79"/>
      <c r="F23" s="79"/>
      <c r="G23" s="79"/>
      <c r="H23" s="79"/>
      <c r="I23" s="79"/>
      <c r="J23" s="79"/>
      <c r="K23" s="159"/>
      <c r="L23" s="79"/>
      <c r="M23" s="79"/>
      <c r="N23" s="81"/>
      <c r="O23" s="77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1"/>
      <c r="AA23" s="88"/>
      <c r="AB23" s="69"/>
    </row>
    <row r="24" spans="1:28">
      <c r="A24" s="70"/>
      <c r="B24" s="71"/>
      <c r="C24" s="71"/>
      <c r="D24" s="114"/>
      <c r="E24" s="59"/>
      <c r="F24" s="59"/>
      <c r="G24" s="71"/>
      <c r="H24" s="71"/>
      <c r="I24" s="71"/>
      <c r="J24" s="71"/>
      <c r="K24" s="159"/>
      <c r="L24" s="71"/>
      <c r="M24" s="71"/>
      <c r="N24" s="80"/>
      <c r="O24" s="77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81"/>
      <c r="AA24" s="88"/>
      <c r="AB24" s="87"/>
    </row>
    <row r="25" spans="1:28">
      <c r="A25" s="70"/>
      <c r="B25" s="79"/>
      <c r="C25" s="79"/>
      <c r="D25" s="59"/>
      <c r="E25" s="59"/>
      <c r="F25" s="113"/>
      <c r="G25" s="110"/>
      <c r="H25" s="110"/>
      <c r="I25" s="110"/>
      <c r="J25" s="79"/>
      <c r="K25" s="159"/>
      <c r="L25" s="79"/>
      <c r="M25" s="79"/>
      <c r="N25" s="80"/>
      <c r="O25" s="77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1"/>
      <c r="AA25" s="88"/>
      <c r="AB25" s="87"/>
    </row>
    <row r="26" spans="1:28">
      <c r="A26" s="70"/>
      <c r="B26" s="79"/>
      <c r="C26" s="71"/>
      <c r="D26" s="59"/>
      <c r="E26" s="59"/>
      <c r="F26" s="59"/>
      <c r="G26" s="71"/>
      <c r="H26" s="71"/>
      <c r="I26" s="71"/>
      <c r="J26" s="71"/>
      <c r="K26" s="159"/>
      <c r="L26" s="71"/>
      <c r="M26" s="71"/>
      <c r="N26" s="80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81"/>
      <c r="AA26" s="88"/>
      <c r="AB26" s="87"/>
    </row>
    <row r="27" spans="1:28">
      <c r="A27" s="64"/>
      <c r="B27" s="71"/>
      <c r="C27" s="71"/>
      <c r="D27" s="71"/>
      <c r="E27" s="71"/>
      <c r="F27" s="71"/>
      <c r="G27" s="71"/>
      <c r="H27" s="71"/>
      <c r="I27" s="71"/>
      <c r="J27" s="71"/>
      <c r="K27" s="159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88"/>
      <c r="AB27" s="69"/>
    </row>
    <row r="28" spans="1:28">
      <c r="A28" s="64"/>
      <c r="B28" s="71"/>
      <c r="C28" s="71"/>
      <c r="D28" s="71"/>
      <c r="E28" s="71"/>
      <c r="F28" s="71"/>
      <c r="G28" s="71"/>
      <c r="H28" s="71"/>
      <c r="I28" s="71"/>
      <c r="J28" s="71"/>
      <c r="K28" s="159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88"/>
      <c r="AB28" s="69"/>
    </row>
    <row r="29" spans="1:28">
      <c r="A29" s="64"/>
      <c r="B29" s="73"/>
      <c r="C29" s="73"/>
      <c r="D29" s="73"/>
      <c r="E29" s="73"/>
      <c r="F29" s="73"/>
      <c r="G29" s="73"/>
      <c r="H29" s="73"/>
      <c r="I29" s="73"/>
      <c r="J29" s="73"/>
      <c r="K29" s="160"/>
      <c r="L29" s="73"/>
      <c r="M29" s="73"/>
      <c r="N29" s="73"/>
      <c r="O29" s="71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88"/>
      <c r="AB29" s="69"/>
    </row>
    <row r="30" spans="1:28">
      <c r="A30" s="83"/>
      <c r="B30" s="71"/>
      <c r="C30" s="71"/>
      <c r="D30" s="71"/>
      <c r="E30" s="71"/>
      <c r="F30" s="71"/>
      <c r="G30" s="71"/>
      <c r="H30" s="71"/>
      <c r="I30" s="71"/>
      <c r="J30" s="71"/>
      <c r="K30" s="159"/>
      <c r="L30" s="71"/>
      <c r="M30" s="71"/>
      <c r="N30" s="80"/>
      <c r="O30" s="77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81"/>
      <c r="AA30" s="88"/>
      <c r="AB30" s="87"/>
    </row>
    <row r="31" spans="1:28">
      <c r="A31" s="70"/>
      <c r="B31" s="71"/>
      <c r="C31" s="71"/>
      <c r="D31" s="71"/>
      <c r="E31" s="71"/>
      <c r="F31" s="71"/>
      <c r="G31" s="71"/>
      <c r="H31" s="71"/>
      <c r="I31" s="71"/>
      <c r="J31" s="71"/>
      <c r="K31" s="159"/>
      <c r="L31" s="71"/>
      <c r="M31" s="71"/>
      <c r="N31" s="80"/>
      <c r="O31" s="77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81"/>
      <c r="AA31" s="88"/>
      <c r="AB31" s="87"/>
    </row>
    <row r="32" spans="1:28">
      <c r="A32" s="70"/>
      <c r="B32" s="71"/>
      <c r="C32" s="71"/>
      <c r="D32" s="71"/>
      <c r="E32" s="71"/>
      <c r="F32" s="71"/>
      <c r="G32" s="71"/>
      <c r="H32" s="71"/>
      <c r="I32" s="71"/>
      <c r="J32" s="71"/>
      <c r="K32" s="159"/>
      <c r="L32" s="71"/>
      <c r="M32" s="71"/>
      <c r="N32" s="80"/>
      <c r="O32" s="77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81"/>
      <c r="AA32" s="88"/>
      <c r="AB32" s="87"/>
    </row>
    <row r="33" spans="1:28">
      <c r="A33" s="70"/>
      <c r="B33" s="71"/>
      <c r="C33" s="71"/>
      <c r="D33" s="71"/>
      <c r="E33" s="71"/>
      <c r="F33" s="71"/>
      <c r="G33" s="71"/>
      <c r="H33" s="71"/>
      <c r="I33" s="71"/>
      <c r="J33" s="71"/>
      <c r="K33" s="159"/>
      <c r="L33" s="71"/>
      <c r="M33" s="71"/>
      <c r="N33" s="80"/>
      <c r="O33" s="77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81"/>
      <c r="AA33" s="88"/>
      <c r="AB33" s="87"/>
    </row>
    <row r="34" spans="1:28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159"/>
      <c r="L34" s="71"/>
      <c r="M34" s="71"/>
      <c r="N34" s="80"/>
      <c r="O34" s="77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81"/>
      <c r="AA34" s="88"/>
      <c r="AB34" s="87"/>
    </row>
    <row r="35" spans="1:28">
      <c r="A35" s="70"/>
      <c r="B35" s="71"/>
      <c r="C35" s="71"/>
      <c r="D35" s="71"/>
      <c r="E35" s="71"/>
      <c r="F35" s="71"/>
      <c r="G35" s="71"/>
      <c r="H35" s="71"/>
      <c r="I35" s="71"/>
      <c r="J35" s="71"/>
      <c r="K35" s="159"/>
      <c r="L35" s="71"/>
      <c r="M35" s="71"/>
      <c r="N35" s="80"/>
      <c r="O35" s="77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81"/>
      <c r="AA35" s="88"/>
      <c r="AB35" s="87"/>
    </row>
    <row r="36" spans="1:28">
      <c r="A36" s="70"/>
      <c r="B36" s="71"/>
      <c r="C36" s="71"/>
      <c r="D36" s="71"/>
      <c r="E36" s="71"/>
      <c r="F36" s="71"/>
      <c r="G36" s="71"/>
      <c r="H36" s="71"/>
      <c r="I36" s="71"/>
      <c r="J36" s="71"/>
      <c r="K36" s="159"/>
      <c r="L36" s="71"/>
      <c r="M36" s="71"/>
      <c r="N36" s="80"/>
      <c r="O36" s="77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81"/>
      <c r="AA36" s="88"/>
      <c r="AB36" s="87"/>
    </row>
    <row r="37" spans="1:28">
      <c r="A37" s="70"/>
      <c r="B37" s="71"/>
      <c r="C37" s="71"/>
      <c r="D37" s="71"/>
      <c r="E37" s="71"/>
      <c r="F37" s="71"/>
      <c r="G37" s="71"/>
      <c r="H37" s="71"/>
      <c r="I37" s="71"/>
      <c r="J37" s="71"/>
      <c r="K37" s="159"/>
      <c r="L37" s="71"/>
      <c r="M37" s="71"/>
      <c r="N37" s="80"/>
      <c r="O37" s="77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81"/>
      <c r="AA37" s="88"/>
      <c r="AB37" s="87"/>
    </row>
    <row r="38" spans="1:28">
      <c r="A38" s="70"/>
      <c r="B38" s="71"/>
      <c r="C38" s="71"/>
      <c r="D38" s="71"/>
      <c r="E38" s="71"/>
      <c r="F38" s="71"/>
      <c r="G38" s="71"/>
      <c r="H38" s="71"/>
      <c r="I38" s="71"/>
      <c r="J38" s="71"/>
      <c r="K38" s="159"/>
      <c r="L38" s="71"/>
      <c r="M38" s="71"/>
      <c r="N38" s="80"/>
      <c r="O38" s="77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81"/>
      <c r="AA38" s="88"/>
      <c r="AB38" s="87"/>
    </row>
    <row r="39" spans="1:28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159"/>
      <c r="L39" s="71"/>
      <c r="M39" s="71"/>
      <c r="N39" s="80"/>
      <c r="O39" s="77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81"/>
      <c r="AA39" s="88"/>
      <c r="AB39" s="87"/>
    </row>
    <row r="40" spans="1:28">
      <c r="A40" s="70"/>
      <c r="B40" s="71"/>
      <c r="C40" s="71"/>
      <c r="D40" s="71"/>
      <c r="E40" s="71"/>
      <c r="F40" s="71"/>
      <c r="G40" s="71"/>
      <c r="H40" s="71"/>
      <c r="I40" s="71"/>
      <c r="J40" s="71"/>
      <c r="K40" s="159"/>
      <c r="L40" s="71"/>
      <c r="M40" s="71"/>
      <c r="N40" s="80"/>
      <c r="O40" s="77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81"/>
      <c r="AA40" s="88"/>
      <c r="AB40" s="87"/>
    </row>
    <row r="41" spans="1:28">
      <c r="A41" s="70"/>
      <c r="B41" s="71"/>
      <c r="C41" s="71"/>
      <c r="D41" s="71"/>
      <c r="E41" s="71"/>
      <c r="F41" s="71"/>
      <c r="G41" s="71"/>
      <c r="H41" s="71"/>
      <c r="I41" s="71"/>
      <c r="J41" s="71"/>
      <c r="K41" s="159"/>
      <c r="L41" s="71"/>
      <c r="M41" s="71"/>
      <c r="N41" s="80"/>
      <c r="O41" s="77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81"/>
      <c r="AA41" s="88"/>
      <c r="AB41" s="87"/>
    </row>
    <row r="42" spans="1:28">
      <c r="A42" s="70"/>
      <c r="B42" s="71"/>
      <c r="C42" s="71"/>
      <c r="D42" s="71"/>
      <c r="E42" s="71"/>
      <c r="F42" s="71"/>
      <c r="G42" s="71"/>
      <c r="H42" s="71"/>
      <c r="I42" s="71"/>
      <c r="J42" s="71"/>
      <c r="K42" s="159"/>
      <c r="L42" s="71"/>
      <c r="M42" s="71"/>
      <c r="N42" s="80"/>
      <c r="O42" s="77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81"/>
      <c r="AA42" s="88"/>
      <c r="AB42" s="87"/>
    </row>
    <row r="43" spans="1:28">
      <c r="A43" s="70"/>
      <c r="B43" s="79"/>
      <c r="C43" s="79"/>
      <c r="D43" s="79"/>
      <c r="E43" s="79"/>
      <c r="F43" s="79"/>
      <c r="G43" s="79"/>
      <c r="H43" s="79"/>
      <c r="I43" s="79"/>
      <c r="J43" s="79"/>
      <c r="K43" s="159"/>
      <c r="L43" s="79"/>
      <c r="M43" s="79"/>
      <c r="N43" s="81"/>
      <c r="O43" s="77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81"/>
      <c r="AA43" s="88"/>
      <c r="AB43" s="69"/>
    </row>
    <row r="44" spans="1:28">
      <c r="A44" s="70"/>
      <c r="B44" s="71"/>
      <c r="C44" s="71"/>
      <c r="D44" s="71"/>
      <c r="E44" s="71"/>
      <c r="F44" s="71"/>
      <c r="G44" s="71"/>
      <c r="H44" s="71"/>
      <c r="I44" s="71"/>
      <c r="J44" s="71"/>
      <c r="K44" s="159"/>
      <c r="L44" s="71"/>
      <c r="M44" s="71"/>
      <c r="N44" s="80"/>
      <c r="O44" s="77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81"/>
      <c r="AA44" s="88"/>
      <c r="AB44" s="87"/>
    </row>
    <row r="45" spans="1:28">
      <c r="A45" s="70"/>
      <c r="B45" s="71"/>
      <c r="C45" s="71"/>
      <c r="D45" s="71"/>
      <c r="E45" s="71"/>
      <c r="F45" s="71"/>
      <c r="G45" s="71"/>
      <c r="H45" s="71"/>
      <c r="I45" s="71"/>
      <c r="J45" s="71"/>
      <c r="K45" s="159"/>
      <c r="L45" s="71"/>
      <c r="M45" s="71"/>
      <c r="N45" s="80"/>
      <c r="O45" s="77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81"/>
      <c r="AA45" s="88"/>
      <c r="AB45" s="87"/>
    </row>
    <row r="46" spans="1:28">
      <c r="A46" s="70"/>
      <c r="B46" s="88"/>
      <c r="C46" s="88"/>
      <c r="D46" s="88"/>
      <c r="E46" s="88"/>
      <c r="F46" s="88"/>
      <c r="G46" s="88"/>
      <c r="H46" s="88"/>
      <c r="I46" s="88"/>
      <c r="J46" s="88"/>
      <c r="K46" s="161"/>
      <c r="L46" s="88"/>
      <c r="M46" s="88"/>
      <c r="N46" s="84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5"/>
      <c r="AA46" s="88"/>
      <c r="AB46" s="69"/>
    </row>
    <row r="47" spans="1:28">
      <c r="A47" s="75"/>
      <c r="B47" s="88"/>
      <c r="C47" s="88"/>
      <c r="D47" s="88"/>
      <c r="E47" s="88"/>
      <c r="F47" s="88"/>
      <c r="G47" s="88"/>
      <c r="H47" s="88"/>
      <c r="I47" s="88"/>
      <c r="J47" s="88"/>
      <c r="K47" s="161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69"/>
    </row>
    <row r="48" spans="1:28">
      <c r="A48" s="75"/>
      <c r="B48" s="69"/>
      <c r="C48" s="69"/>
      <c r="D48" s="69"/>
      <c r="E48" s="69"/>
      <c r="F48" s="69"/>
      <c r="G48" s="69"/>
      <c r="H48" s="69"/>
      <c r="I48" s="69"/>
      <c r="J48" s="69"/>
      <c r="K48" s="162"/>
      <c r="L48" s="69"/>
      <c r="M48" s="69"/>
      <c r="N48" s="88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</row>
    <row r="49" spans="1:28">
      <c r="A49" s="75"/>
      <c r="B49" s="76"/>
      <c r="C49" s="76"/>
      <c r="D49" s="76"/>
      <c r="E49" s="76"/>
      <c r="F49" s="76"/>
      <c r="G49" s="76"/>
      <c r="H49" s="76"/>
      <c r="I49" s="76"/>
      <c r="J49" s="76"/>
      <c r="K49" s="163"/>
      <c r="L49" s="76"/>
      <c r="M49" s="76"/>
      <c r="N49" s="82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</row>
    <row r="50" spans="1:28">
      <c r="A50" s="75"/>
      <c r="B50" s="76"/>
      <c r="C50" s="76"/>
      <c r="D50" s="76"/>
      <c r="E50" s="76"/>
      <c r="F50" s="76"/>
      <c r="G50" s="76"/>
      <c r="H50" s="76"/>
      <c r="I50" s="76"/>
      <c r="J50" s="76"/>
      <c r="K50" s="163"/>
      <c r="L50" s="76"/>
      <c r="M50" s="76"/>
      <c r="N50" s="82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</row>
    <row r="51" spans="1:28">
      <c r="A51" s="75"/>
      <c r="B51" s="76"/>
      <c r="C51" s="76"/>
      <c r="D51" s="76"/>
      <c r="E51" s="76"/>
      <c r="F51" s="76"/>
      <c r="G51" s="76"/>
      <c r="H51" s="76"/>
      <c r="I51" s="76"/>
      <c r="J51" s="76"/>
      <c r="K51" s="163"/>
      <c r="L51" s="76"/>
      <c r="M51" s="76"/>
      <c r="N51" s="82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</row>
    <row r="52" spans="1:28">
      <c r="A52" s="75"/>
      <c r="B52" s="76"/>
      <c r="C52" s="76"/>
      <c r="D52" s="76"/>
      <c r="E52" s="76"/>
      <c r="F52" s="76"/>
      <c r="G52" s="76"/>
      <c r="H52" s="76"/>
      <c r="I52" s="76"/>
      <c r="J52" s="76"/>
      <c r="K52" s="163"/>
      <c r="L52" s="76"/>
      <c r="M52" s="76"/>
      <c r="N52" s="82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</row>
    <row r="53" spans="1:28">
      <c r="A53" s="75"/>
      <c r="B53" s="75"/>
      <c r="C53" s="75"/>
      <c r="D53" s="75"/>
      <c r="E53" s="75"/>
      <c r="F53" s="75"/>
      <c r="G53" s="75"/>
      <c r="H53" s="75"/>
      <c r="I53" s="75"/>
      <c r="J53" s="75"/>
      <c r="K53" s="164"/>
      <c r="L53" s="76"/>
      <c r="M53" s="76"/>
      <c r="N53" s="82"/>
      <c r="O53" s="76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5"/>
      <c r="AA53" s="75"/>
      <c r="AB53" s="76"/>
    </row>
    <row r="54" spans="1:28">
      <c r="A54" s="75"/>
      <c r="B54" s="75"/>
      <c r="C54" s="75"/>
      <c r="D54" s="75"/>
      <c r="E54" s="75"/>
      <c r="F54" s="75"/>
      <c r="G54" s="75"/>
      <c r="H54" s="75"/>
      <c r="I54" s="75"/>
      <c r="J54" s="75"/>
      <c r="K54" s="164"/>
      <c r="L54" s="76"/>
      <c r="M54" s="76"/>
      <c r="N54" s="82"/>
      <c r="O54" s="76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5"/>
      <c r="AA54" s="75"/>
      <c r="AB54" s="76"/>
    </row>
    <row r="55" spans="1:28">
      <c r="A55" s="75"/>
      <c r="N55" s="37"/>
    </row>
    <row r="56" spans="1:28">
      <c r="N56" s="37"/>
    </row>
    <row r="57" spans="1:28">
      <c r="N57" s="37"/>
    </row>
    <row r="58" spans="1:28">
      <c r="N58" s="37"/>
    </row>
    <row r="59" spans="1:28">
      <c r="N59" s="37"/>
    </row>
    <row r="60" spans="1:28">
      <c r="N60" s="37"/>
    </row>
    <row r="61" spans="1:28">
      <c r="N61" s="37"/>
    </row>
    <row r="62" spans="1:28">
      <c r="N62" s="37"/>
    </row>
    <row r="63" spans="1:28">
      <c r="N63" s="37"/>
    </row>
    <row r="64" spans="1:28">
      <c r="N64" s="37"/>
    </row>
    <row r="65" spans="14:14">
      <c r="N65" s="37"/>
    </row>
    <row r="66" spans="14:14">
      <c r="N66" s="37"/>
    </row>
    <row r="67" spans="14:14">
      <c r="N67" s="37"/>
    </row>
    <row r="68" spans="14:14">
      <c r="N68" s="37"/>
    </row>
    <row r="69" spans="14:14">
      <c r="N69" s="37"/>
    </row>
    <row r="70" spans="14:14">
      <c r="N70" s="37"/>
    </row>
    <row r="71" spans="14:14">
      <c r="N71" s="37"/>
    </row>
    <row r="72" spans="14:14">
      <c r="N72" s="37"/>
    </row>
    <row r="73" spans="14:14">
      <c r="N73" s="37"/>
    </row>
    <row r="74" spans="14:14">
      <c r="N74" s="37"/>
    </row>
    <row r="75" spans="14:14">
      <c r="N75" s="37"/>
    </row>
    <row r="76" spans="14:14">
      <c r="N76" s="37"/>
    </row>
    <row r="77" spans="14:14">
      <c r="N77" s="37"/>
    </row>
    <row r="78" spans="14:14">
      <c r="N78" s="37"/>
    </row>
    <row r="79" spans="14:14">
      <c r="N79" s="37"/>
    </row>
    <row r="80" spans="14:14">
      <c r="N80" s="37"/>
    </row>
    <row r="81" spans="14:14">
      <c r="N81" s="37"/>
    </row>
    <row r="82" spans="14:14">
      <c r="N82" s="37"/>
    </row>
    <row r="83" spans="14:14">
      <c r="N83" s="37"/>
    </row>
    <row r="84" spans="14:14">
      <c r="N84" s="37"/>
    </row>
    <row r="85" spans="14:14">
      <c r="N85" s="37"/>
    </row>
    <row r="86" spans="14:14">
      <c r="N86" s="37"/>
    </row>
    <row r="87" spans="14:14">
      <c r="N87" s="37"/>
    </row>
    <row r="88" spans="14:14">
      <c r="N88" s="37"/>
    </row>
  </sheetData>
  <phoneticPr fontId="20" type="noConversion"/>
  <pageMargins left="0.75" right="0.75" top="1" bottom="1" header="0.5" footer="0.5"/>
  <pageSetup scale="6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F10" sqref="F10"/>
    </sheetView>
  </sheetViews>
  <sheetFormatPr defaultColWidth="8.88671875" defaultRowHeight="13.2"/>
  <cols>
    <col min="2" max="2" width="48.6640625" customWidth="1"/>
    <col min="3" max="3" width="17.6640625" bestFit="1" customWidth="1"/>
    <col min="4" max="4" width="14.6640625" style="109" customWidth="1"/>
    <col min="5" max="5" width="8.88671875" style="3"/>
  </cols>
  <sheetData>
    <row r="1" spans="1:6" ht="17.399999999999999">
      <c r="B1" s="326" t="s">
        <v>189</v>
      </c>
      <c r="C1" s="6"/>
      <c r="D1" s="140"/>
      <c r="E1" s="17"/>
      <c r="F1" s="6"/>
    </row>
    <row r="2" spans="1:6">
      <c r="B2" s="134"/>
      <c r="C2" s="10"/>
      <c r="D2" s="140"/>
      <c r="E2" s="148"/>
      <c r="F2" s="6"/>
    </row>
    <row r="3" spans="1:6">
      <c r="B3" s="12"/>
      <c r="C3" s="14" t="s">
        <v>16</v>
      </c>
      <c r="D3" s="45" t="s">
        <v>13</v>
      </c>
      <c r="E3" s="148"/>
      <c r="F3" s="148"/>
    </row>
    <row r="4" spans="1:6" ht="21">
      <c r="A4" s="327">
        <v>101</v>
      </c>
      <c r="B4" s="322" t="s">
        <v>149</v>
      </c>
      <c r="C4" s="219" t="s">
        <v>206</v>
      </c>
      <c r="D4" s="269">
        <f>IF(C4="fail",0,50)</f>
        <v>50</v>
      </c>
      <c r="E4" s="148"/>
      <c r="F4" s="6"/>
    </row>
    <row r="5" spans="1:6" ht="23.4">
      <c r="A5" s="327">
        <v>102</v>
      </c>
      <c r="B5" s="323" t="s">
        <v>151</v>
      </c>
      <c r="C5" s="219" t="s">
        <v>207</v>
      </c>
      <c r="D5" s="269">
        <f t="shared" ref="D5:D12" si="0">IF(C5="fail",0,50)</f>
        <v>0</v>
      </c>
      <c r="E5" s="148"/>
      <c r="F5" s="6"/>
    </row>
    <row r="6" spans="1:6" ht="23.4">
      <c r="A6" s="327">
        <v>103</v>
      </c>
      <c r="B6" s="323" t="s">
        <v>147</v>
      </c>
      <c r="C6" s="219" t="s">
        <v>206</v>
      </c>
      <c r="D6" s="269">
        <f t="shared" si="0"/>
        <v>50</v>
      </c>
    </row>
    <row r="7" spans="1:6" ht="23.4">
      <c r="A7" s="327">
        <v>104</v>
      </c>
      <c r="B7" s="323" t="s">
        <v>148</v>
      </c>
      <c r="C7" s="219" t="s">
        <v>207</v>
      </c>
      <c r="D7" s="269">
        <f t="shared" si="0"/>
        <v>0</v>
      </c>
    </row>
    <row r="8" spans="1:6" ht="23.4">
      <c r="A8" s="327">
        <v>106</v>
      </c>
      <c r="B8" s="323" t="s">
        <v>152</v>
      </c>
      <c r="C8" s="219" t="s">
        <v>206</v>
      </c>
      <c r="D8" s="269">
        <f t="shared" si="0"/>
        <v>50</v>
      </c>
    </row>
    <row r="9" spans="1:6" ht="46.8">
      <c r="A9" s="327">
        <v>107</v>
      </c>
      <c r="B9" s="323" t="s">
        <v>153</v>
      </c>
      <c r="C9" s="219" t="s">
        <v>206</v>
      </c>
      <c r="D9" s="269">
        <f t="shared" si="0"/>
        <v>50</v>
      </c>
    </row>
    <row r="10" spans="1:6" ht="23.4">
      <c r="A10" s="327">
        <v>108</v>
      </c>
      <c r="B10" s="323" t="s">
        <v>150</v>
      </c>
      <c r="C10" s="219" t="s">
        <v>207</v>
      </c>
      <c r="D10" s="269">
        <f t="shared" si="0"/>
        <v>0</v>
      </c>
    </row>
    <row r="11" spans="1:6" ht="23.4">
      <c r="A11" s="327">
        <v>111</v>
      </c>
      <c r="B11" s="323" t="s">
        <v>182</v>
      </c>
      <c r="C11" s="219" t="s">
        <v>206</v>
      </c>
      <c r="D11" s="269">
        <f t="shared" si="0"/>
        <v>50</v>
      </c>
    </row>
    <row r="12" spans="1:6" ht="46.8">
      <c r="A12" s="327">
        <v>112</v>
      </c>
      <c r="B12" s="323" t="s">
        <v>183</v>
      </c>
      <c r="C12" s="378" t="s">
        <v>207</v>
      </c>
      <c r="D12" s="269">
        <f t="shared" si="0"/>
        <v>0</v>
      </c>
    </row>
    <row r="13" spans="1:6">
      <c r="D13" s="185"/>
    </row>
    <row r="14" spans="1:6">
      <c r="C14" s="186"/>
      <c r="D14" s="185"/>
    </row>
  </sheetData>
  <phoneticPr fontId="20" type="noConversion"/>
  <printOptions gridLines="1"/>
  <pageMargins left="0.75" right="0.75" top="1" bottom="1" header="0.5" footer="0.5"/>
  <pageSetup orientation="landscape" horizontalDpi="4294967294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N21"/>
  <sheetViews>
    <sheetView zoomScale="60" zoomScaleNormal="60" workbookViewId="0">
      <selection activeCell="B1" sqref="B1"/>
    </sheetView>
  </sheetViews>
  <sheetFormatPr defaultColWidth="8.88671875" defaultRowHeight="13.2"/>
  <cols>
    <col min="2" max="2" width="49.33203125" customWidth="1"/>
    <col min="3" max="3" width="10" customWidth="1"/>
    <col min="4" max="4" width="10.33203125" customWidth="1"/>
    <col min="5" max="5" width="13.44140625" customWidth="1"/>
    <col min="6" max="6" width="10.109375" customWidth="1"/>
    <col min="7" max="7" width="10" customWidth="1"/>
    <col min="8" max="9" width="11" customWidth="1"/>
    <col min="10" max="10" width="8.6640625" customWidth="1"/>
    <col min="11" max="12" width="10" customWidth="1"/>
  </cols>
  <sheetData>
    <row r="1" spans="1:14" ht="17.399999999999999">
      <c r="B1" s="339" t="s">
        <v>188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>
      <c r="B2" s="140"/>
      <c r="C2" s="6"/>
      <c r="F2" s="9" t="s">
        <v>143</v>
      </c>
      <c r="G2" s="55">
        <f>MAX(H6:H14)</f>
        <v>778</v>
      </c>
      <c r="H2" s="140" t="s">
        <v>134</v>
      </c>
      <c r="I2" s="140"/>
      <c r="J2" s="6"/>
      <c r="K2" s="6"/>
      <c r="L2" s="6"/>
      <c r="M2" s="6"/>
      <c r="N2" s="6"/>
    </row>
    <row r="3" spans="1:14">
      <c r="B3" s="132"/>
      <c r="C3" s="6"/>
      <c r="F3" s="9" t="s">
        <v>145</v>
      </c>
      <c r="G3" s="55">
        <f>MIN(H6:H10)</f>
        <v>475</v>
      </c>
      <c r="H3" s="140" t="s">
        <v>134</v>
      </c>
      <c r="I3" s="140"/>
      <c r="J3" s="6"/>
      <c r="K3" s="6"/>
      <c r="L3" s="6"/>
      <c r="M3" s="6"/>
      <c r="N3" s="6"/>
    </row>
    <row r="4" spans="1:14">
      <c r="B4" s="15"/>
      <c r="C4" s="15"/>
      <c r="D4" s="15"/>
      <c r="E4" s="15"/>
      <c r="F4" s="15"/>
      <c r="G4" s="6"/>
      <c r="H4" s="15"/>
      <c r="I4" s="15"/>
      <c r="J4" s="15"/>
      <c r="K4" s="15"/>
      <c r="L4" s="6"/>
      <c r="M4" s="6"/>
      <c r="N4" s="6"/>
    </row>
    <row r="5" spans="1:14" ht="30.75" customHeight="1">
      <c r="B5" s="61"/>
      <c r="C5" s="297" t="s">
        <v>139</v>
      </c>
      <c r="D5" s="297" t="s">
        <v>140</v>
      </c>
      <c r="E5" s="297" t="s">
        <v>141</v>
      </c>
      <c r="F5" s="297" t="s">
        <v>142</v>
      </c>
      <c r="G5" s="297" t="s">
        <v>57</v>
      </c>
      <c r="H5" s="297" t="s">
        <v>143</v>
      </c>
      <c r="I5" s="265" t="s">
        <v>41</v>
      </c>
      <c r="J5" s="265" t="s">
        <v>128</v>
      </c>
      <c r="K5" s="232"/>
      <c r="L5" s="13"/>
      <c r="M5" s="5"/>
      <c r="N5" s="6"/>
    </row>
    <row r="6" spans="1:14" ht="21">
      <c r="A6" s="327">
        <v>101</v>
      </c>
      <c r="B6" s="322" t="s">
        <v>149</v>
      </c>
      <c r="C6" s="427">
        <v>511</v>
      </c>
      <c r="D6" s="427">
        <v>596</v>
      </c>
      <c r="E6" s="427">
        <v>510</v>
      </c>
      <c r="F6" s="298"/>
      <c r="G6" s="298">
        <f>AVERAGE(C6:E6)</f>
        <v>539</v>
      </c>
      <c r="H6" s="299">
        <f>MAX(C6:F6)</f>
        <v>596</v>
      </c>
      <c r="I6" s="300">
        <f>IF((H6=$G$3),5,((H6-$G$18)/$G$17))</f>
        <v>39.93399339933994</v>
      </c>
      <c r="J6" s="266">
        <f>RANK(I6,$I$6:$I$13)</f>
        <v>4</v>
      </c>
      <c r="K6" s="139"/>
      <c r="L6" s="24"/>
      <c r="M6" s="17"/>
      <c r="N6" s="6"/>
    </row>
    <row r="7" spans="1:14" ht="23.4">
      <c r="A7" s="327">
        <v>102</v>
      </c>
      <c r="B7" s="323" t="s">
        <v>151</v>
      </c>
      <c r="C7" s="427">
        <v>475</v>
      </c>
      <c r="D7" s="427">
        <v>377</v>
      </c>
      <c r="E7" s="427">
        <v>329</v>
      </c>
      <c r="F7" s="298"/>
      <c r="G7" s="298">
        <f t="shared" ref="G7:G13" si="0">AVERAGE(C7:E7)</f>
        <v>393.66666666666669</v>
      </c>
      <c r="H7" s="299">
        <f t="shared" ref="H7:H14" si="1">MAX(C7:F7)</f>
        <v>475</v>
      </c>
      <c r="I7" s="300">
        <f t="shared" ref="I7:I13" si="2">IF((H7=$G$3),5,((H7-$G$18)/$G$17))</f>
        <v>5</v>
      </c>
      <c r="J7" s="266">
        <f t="shared" ref="J7:J13" si="3">RANK(I7,$I$6:$I$13)</f>
        <v>7</v>
      </c>
      <c r="K7" s="233"/>
      <c r="L7" s="24"/>
      <c r="M7" s="17"/>
      <c r="N7" s="6"/>
    </row>
    <row r="8" spans="1:14" ht="23.4">
      <c r="A8" s="327">
        <v>103</v>
      </c>
      <c r="B8" s="323" t="s">
        <v>147</v>
      </c>
      <c r="C8" s="427">
        <v>381</v>
      </c>
      <c r="D8" s="427">
        <v>444</v>
      </c>
      <c r="E8" s="427">
        <v>693</v>
      </c>
      <c r="F8" s="298"/>
      <c r="G8" s="298">
        <f t="shared" si="0"/>
        <v>506</v>
      </c>
      <c r="H8" s="299">
        <f t="shared" si="1"/>
        <v>693</v>
      </c>
      <c r="I8" s="300">
        <f t="shared" si="2"/>
        <v>71.947194719471952</v>
      </c>
      <c r="J8" s="266">
        <f t="shared" si="3"/>
        <v>3</v>
      </c>
      <c r="K8" s="233"/>
    </row>
    <row r="9" spans="1:14" ht="23.4">
      <c r="A9" s="327">
        <v>104</v>
      </c>
      <c r="B9" s="323" t="s">
        <v>148</v>
      </c>
      <c r="C9" s="427">
        <v>470.8</v>
      </c>
      <c r="D9" s="427">
        <v>490.8</v>
      </c>
      <c r="E9" s="427">
        <v>473.6</v>
      </c>
      <c r="F9" s="297"/>
      <c r="G9" s="298">
        <f t="shared" si="0"/>
        <v>478.40000000000003</v>
      </c>
      <c r="H9" s="299">
        <f t="shared" si="1"/>
        <v>490.8</v>
      </c>
      <c r="I9" s="300">
        <f t="shared" si="2"/>
        <v>5.2145214521452186</v>
      </c>
      <c r="J9" s="266">
        <f t="shared" si="3"/>
        <v>6</v>
      </c>
      <c r="K9" s="233"/>
    </row>
    <row r="10" spans="1:14" ht="23.4">
      <c r="A10" s="327">
        <v>106</v>
      </c>
      <c r="B10" s="323" t="s">
        <v>152</v>
      </c>
      <c r="C10" s="427">
        <v>749.8</v>
      </c>
      <c r="D10" s="427">
        <v>690</v>
      </c>
      <c r="E10" s="427">
        <v>727</v>
      </c>
      <c r="F10" s="297"/>
      <c r="G10" s="298">
        <f t="shared" si="0"/>
        <v>722.26666666666677</v>
      </c>
      <c r="H10" s="299">
        <f t="shared" si="1"/>
        <v>749.8</v>
      </c>
      <c r="I10" s="300">
        <f t="shared" si="2"/>
        <v>90.693069306930681</v>
      </c>
      <c r="J10" s="266">
        <f t="shared" si="3"/>
        <v>2</v>
      </c>
      <c r="K10" s="233"/>
    </row>
    <row r="11" spans="1:14" ht="46.8">
      <c r="A11" s="327">
        <v>107</v>
      </c>
      <c r="B11" s="323" t="s">
        <v>153</v>
      </c>
      <c r="C11" s="426">
        <v>692</v>
      </c>
      <c r="D11" s="426">
        <v>750</v>
      </c>
      <c r="E11" s="426">
        <v>778</v>
      </c>
      <c r="F11" s="297"/>
      <c r="G11" s="298">
        <f t="shared" si="0"/>
        <v>740</v>
      </c>
      <c r="H11" s="299">
        <f t="shared" si="1"/>
        <v>778</v>
      </c>
      <c r="I11" s="300">
        <f t="shared" si="2"/>
        <v>100</v>
      </c>
      <c r="J11" s="266">
        <f t="shared" si="3"/>
        <v>1</v>
      </c>
      <c r="K11" s="233"/>
    </row>
    <row r="12" spans="1:14" ht="23.4">
      <c r="A12" s="327">
        <v>108</v>
      </c>
      <c r="B12" s="323" t="s">
        <v>150</v>
      </c>
      <c r="C12" s="426"/>
      <c r="D12" s="426"/>
      <c r="E12" s="426"/>
      <c r="F12" s="297"/>
      <c r="G12" s="298"/>
      <c r="H12" s="299">
        <f t="shared" si="1"/>
        <v>0</v>
      </c>
      <c r="I12" s="300"/>
      <c r="J12" s="266"/>
      <c r="K12" s="233"/>
    </row>
    <row r="13" spans="1:14" ht="23.4">
      <c r="A13" s="327">
        <v>111</v>
      </c>
      <c r="B13" s="323" t="s">
        <v>182</v>
      </c>
      <c r="C13" s="426">
        <v>405</v>
      </c>
      <c r="D13" s="426">
        <v>442</v>
      </c>
      <c r="E13" s="426">
        <v>555</v>
      </c>
      <c r="F13" s="297"/>
      <c r="G13" s="298">
        <f t="shared" si="0"/>
        <v>467.33333333333331</v>
      </c>
      <c r="H13" s="299">
        <f t="shared" si="1"/>
        <v>555</v>
      </c>
      <c r="I13" s="300">
        <f t="shared" si="2"/>
        <v>26.402640264026406</v>
      </c>
      <c r="J13" s="266">
        <f t="shared" si="3"/>
        <v>5</v>
      </c>
      <c r="K13" s="233"/>
    </row>
    <row r="14" spans="1:14" ht="46.8">
      <c r="A14" s="327">
        <v>112</v>
      </c>
      <c r="B14" s="323" t="s">
        <v>183</v>
      </c>
      <c r="C14" s="428"/>
      <c r="D14" s="425"/>
      <c r="E14" s="425"/>
      <c r="F14" s="237"/>
      <c r="G14" s="298"/>
      <c r="H14" s="299">
        <f t="shared" si="1"/>
        <v>0</v>
      </c>
      <c r="I14" s="237"/>
      <c r="J14" s="237"/>
    </row>
    <row r="16" spans="1:14">
      <c r="F16" s="185" t="s">
        <v>101</v>
      </c>
      <c r="G16" s="185"/>
    </row>
    <row r="17" spans="6:7">
      <c r="F17" s="185" t="s">
        <v>98</v>
      </c>
      <c r="G17" s="192">
        <f>(G2-G3)/100</f>
        <v>3.03</v>
      </c>
    </row>
    <row r="18" spans="6:7">
      <c r="F18" s="185" t="s">
        <v>99</v>
      </c>
      <c r="G18" s="145">
        <f>G3</f>
        <v>475</v>
      </c>
    </row>
    <row r="20" spans="6:7">
      <c r="F20" s="185" t="s">
        <v>135</v>
      </c>
      <c r="G20">
        <v>5</v>
      </c>
    </row>
    <row r="21" spans="6:7">
      <c r="F21" s="185" t="s">
        <v>136</v>
      </c>
      <c r="G21">
        <v>100</v>
      </c>
    </row>
  </sheetData>
  <phoneticPr fontId="20" type="noConversion"/>
  <printOptions gridLines="1"/>
  <pageMargins left="0.75" right="0.75" top="1" bottom="1" header="0.5" footer="0.5"/>
  <pageSetup scale="57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20"/>
  <sheetViews>
    <sheetView topLeftCell="A6" zoomScale="80" zoomScaleNormal="80" zoomScalePageLayoutView="125" workbookViewId="0">
      <selection activeCell="L18" sqref="L18"/>
    </sheetView>
  </sheetViews>
  <sheetFormatPr defaultColWidth="8.88671875" defaultRowHeight="13.2"/>
  <cols>
    <col min="2" max="2" width="37.88671875" customWidth="1"/>
    <col min="3" max="3" width="8.77734375" customWidth="1"/>
    <col min="4" max="4" width="9.88671875" style="3" customWidth="1"/>
    <col min="5" max="5" width="8.21875" customWidth="1"/>
    <col min="6" max="6" width="10.77734375" customWidth="1"/>
    <col min="7" max="7" width="10.33203125" customWidth="1"/>
    <col min="8" max="8" width="9.109375" customWidth="1"/>
    <col min="9" max="9" width="14.21875" style="109" customWidth="1"/>
    <col min="10" max="10" width="12.109375" customWidth="1"/>
    <col min="11" max="11" width="5.33203125" style="109" customWidth="1"/>
    <col min="12" max="12" width="41" customWidth="1"/>
  </cols>
  <sheetData>
    <row r="1" spans="1:12" ht="17.399999999999999">
      <c r="B1" s="326" t="s">
        <v>187</v>
      </c>
      <c r="C1" s="7"/>
      <c r="D1" s="17"/>
      <c r="E1" s="6"/>
      <c r="F1" s="6"/>
      <c r="G1" s="6"/>
      <c r="H1" s="6"/>
      <c r="I1" s="140"/>
      <c r="J1" s="6"/>
      <c r="K1" s="140"/>
      <c r="L1" s="6"/>
    </row>
    <row r="2" spans="1:12">
      <c r="B2" s="23"/>
      <c r="C2" s="23"/>
      <c r="D2" s="42"/>
      <c r="E2" s="23"/>
      <c r="F2" s="23"/>
      <c r="G2" s="23"/>
      <c r="H2" s="23"/>
      <c r="I2" s="149"/>
      <c r="J2" s="23"/>
      <c r="K2" s="140"/>
      <c r="L2" s="6"/>
    </row>
    <row r="3" spans="1:12" s="105" customFormat="1" ht="66.599999999999994">
      <c r="B3" s="340" t="s">
        <v>196</v>
      </c>
      <c r="C3" s="34" t="s">
        <v>32</v>
      </c>
      <c r="D3" s="34" t="s">
        <v>6</v>
      </c>
      <c r="E3" s="34" t="s">
        <v>50</v>
      </c>
      <c r="F3" s="34" t="s">
        <v>42</v>
      </c>
      <c r="G3" s="34" t="s">
        <v>66</v>
      </c>
      <c r="H3" s="34" t="s">
        <v>7</v>
      </c>
      <c r="I3" s="135" t="s">
        <v>51</v>
      </c>
      <c r="J3" s="34" t="s">
        <v>52</v>
      </c>
      <c r="K3" s="31" t="s">
        <v>49</v>
      </c>
      <c r="L3" s="34" t="s">
        <v>39</v>
      </c>
    </row>
    <row r="4" spans="1:12" s="216" customFormat="1" ht="46.8">
      <c r="A4" s="327">
        <v>101</v>
      </c>
      <c r="B4" s="323" t="s">
        <v>149</v>
      </c>
      <c r="C4" s="341"/>
      <c r="D4" s="341"/>
      <c r="E4" s="341"/>
      <c r="F4" s="341"/>
      <c r="G4" s="341"/>
      <c r="H4" s="341"/>
      <c r="I4" s="341">
        <v>100</v>
      </c>
      <c r="J4" s="342"/>
      <c r="K4" s="373">
        <f t="shared" ref="K4:K9" si="0">SUM(C4:J4)</f>
        <v>100</v>
      </c>
      <c r="L4" s="374"/>
    </row>
    <row r="5" spans="1:12" s="216" customFormat="1" ht="23.4">
      <c r="A5" s="327">
        <v>102</v>
      </c>
      <c r="B5" s="323" t="s">
        <v>151</v>
      </c>
      <c r="C5" s="341"/>
      <c r="D5" s="341"/>
      <c r="E5" s="341"/>
      <c r="F5" s="341"/>
      <c r="G5" s="341">
        <v>-20</v>
      </c>
      <c r="H5" s="341"/>
      <c r="I5" s="341">
        <v>100</v>
      </c>
      <c r="J5" s="341"/>
      <c r="K5" s="373">
        <f t="shared" si="0"/>
        <v>80</v>
      </c>
      <c r="L5" s="374" t="s">
        <v>199</v>
      </c>
    </row>
    <row r="6" spans="1:12" ht="46.8">
      <c r="A6" s="327">
        <v>103</v>
      </c>
      <c r="B6" s="323" t="s">
        <v>147</v>
      </c>
      <c r="C6" s="343"/>
      <c r="D6" s="344"/>
      <c r="E6" s="344"/>
      <c r="F6" s="345">
        <v>-50</v>
      </c>
      <c r="G6" s="344">
        <v>-20</v>
      </c>
      <c r="H6" s="344"/>
      <c r="I6" s="345">
        <v>0</v>
      </c>
      <c r="J6" s="346"/>
      <c r="K6" s="373">
        <f t="shared" si="0"/>
        <v>-70</v>
      </c>
      <c r="L6" s="375" t="s">
        <v>200</v>
      </c>
    </row>
    <row r="7" spans="1:12" ht="66" customHeight="1">
      <c r="A7" s="327">
        <v>104</v>
      </c>
      <c r="B7" s="323" t="s">
        <v>148</v>
      </c>
      <c r="C7" s="343"/>
      <c r="D7" s="344"/>
      <c r="E7" s="344"/>
      <c r="F7" s="345">
        <v>-125</v>
      </c>
      <c r="G7" s="344"/>
      <c r="H7" s="347"/>
      <c r="I7" s="345">
        <v>0</v>
      </c>
      <c r="J7" s="346"/>
      <c r="K7" s="373">
        <f t="shared" si="0"/>
        <v>-125</v>
      </c>
      <c r="L7" s="375" t="s">
        <v>197</v>
      </c>
    </row>
    <row r="8" spans="1:12" ht="89.4" customHeight="1">
      <c r="A8" s="327">
        <v>106</v>
      </c>
      <c r="B8" s="323" t="s">
        <v>152</v>
      </c>
      <c r="C8" s="348"/>
      <c r="D8" s="349"/>
      <c r="E8" s="349"/>
      <c r="F8" s="349">
        <v>-225</v>
      </c>
      <c r="G8" s="349"/>
      <c r="H8" s="349"/>
      <c r="I8" s="350">
        <v>0</v>
      </c>
      <c r="J8" s="351"/>
      <c r="K8" s="373">
        <f t="shared" si="0"/>
        <v>-225</v>
      </c>
      <c r="L8" s="375" t="s">
        <v>198</v>
      </c>
    </row>
    <row r="9" spans="1:12" ht="46.8">
      <c r="A9" s="327">
        <v>107</v>
      </c>
      <c r="B9" s="323" t="s">
        <v>153</v>
      </c>
      <c r="C9" s="352"/>
      <c r="D9" s="353"/>
      <c r="E9" s="353"/>
      <c r="F9" s="353"/>
      <c r="G9" s="353"/>
      <c r="H9" s="353"/>
      <c r="I9" s="354">
        <v>0</v>
      </c>
      <c r="J9" s="355"/>
      <c r="K9" s="373">
        <f t="shared" si="0"/>
        <v>0</v>
      </c>
      <c r="L9" s="435" t="s">
        <v>228</v>
      </c>
    </row>
    <row r="10" spans="1:12" ht="23.4">
      <c r="A10" s="327">
        <v>108</v>
      </c>
      <c r="B10" s="323" t="s">
        <v>150</v>
      </c>
      <c r="C10" s="352"/>
      <c r="D10" s="353"/>
      <c r="E10" s="353"/>
      <c r="F10" s="353"/>
      <c r="G10" s="353">
        <v>-30</v>
      </c>
      <c r="H10" s="353"/>
      <c r="I10" s="354">
        <v>0</v>
      </c>
      <c r="J10" s="355"/>
      <c r="K10" s="373">
        <v>0</v>
      </c>
      <c r="L10" s="377" t="s">
        <v>201</v>
      </c>
    </row>
    <row r="11" spans="1:12" ht="23.4">
      <c r="A11" s="327">
        <v>111</v>
      </c>
      <c r="B11" s="323" t="s">
        <v>182</v>
      </c>
      <c r="C11" s="352"/>
      <c r="D11" s="353"/>
      <c r="E11" s="353"/>
      <c r="F11" s="353"/>
      <c r="G11" s="353"/>
      <c r="H11" s="353"/>
      <c r="I11" s="354">
        <v>0</v>
      </c>
      <c r="J11" s="355"/>
      <c r="K11" s="373">
        <v>0</v>
      </c>
      <c r="L11" s="375" t="s">
        <v>219</v>
      </c>
    </row>
    <row r="12" spans="1:12" ht="46.8">
      <c r="A12" s="327">
        <v>112</v>
      </c>
      <c r="B12" s="323" t="s">
        <v>183</v>
      </c>
      <c r="C12" s="352"/>
      <c r="D12" s="353"/>
      <c r="E12" s="353"/>
      <c r="F12" s="353"/>
      <c r="G12" s="356"/>
      <c r="H12" s="353"/>
      <c r="I12" s="354">
        <v>0</v>
      </c>
      <c r="J12" s="353"/>
      <c r="K12" s="376">
        <v>0</v>
      </c>
      <c r="L12" s="376" t="s">
        <v>220</v>
      </c>
    </row>
    <row r="13" spans="1:12" ht="15">
      <c r="B13" s="21"/>
      <c r="C13" s="21"/>
      <c r="D13" s="166"/>
      <c r="E13" s="39"/>
      <c r="F13" s="39"/>
      <c r="G13" s="35"/>
      <c r="H13" s="42"/>
      <c r="I13" s="147"/>
      <c r="J13" s="26"/>
      <c r="K13" s="140"/>
      <c r="L13" s="6"/>
    </row>
    <row r="14" spans="1:12" ht="15">
      <c r="B14" s="21"/>
      <c r="C14" s="21"/>
      <c r="D14" s="166"/>
      <c r="E14" s="39"/>
      <c r="F14" s="39"/>
      <c r="G14" s="35"/>
      <c r="H14" s="42"/>
      <c r="I14" s="147"/>
      <c r="J14" s="26"/>
      <c r="K14" s="140"/>
      <c r="L14" s="6"/>
    </row>
    <row r="15" spans="1:12">
      <c r="B15" s="21"/>
      <c r="C15" s="21"/>
      <c r="D15" s="166"/>
      <c r="E15" s="39"/>
      <c r="F15" s="39"/>
      <c r="G15" s="35"/>
      <c r="H15" s="42"/>
      <c r="I15" s="147"/>
      <c r="J15" s="23"/>
      <c r="K15" s="140"/>
      <c r="L15" s="6"/>
    </row>
    <row r="16" spans="1:12" ht="15">
      <c r="B16" s="21"/>
      <c r="C16" s="21"/>
      <c r="D16" s="166"/>
      <c r="E16" s="39"/>
      <c r="F16" s="39"/>
      <c r="G16" s="35"/>
      <c r="H16" s="42"/>
      <c r="I16" s="147"/>
      <c r="J16" s="26"/>
      <c r="K16" s="140"/>
      <c r="L16" s="6"/>
    </row>
    <row r="17" spans="2:10">
      <c r="B17" s="21"/>
      <c r="C17" s="21"/>
      <c r="D17" s="167"/>
      <c r="E17" s="40"/>
      <c r="F17" s="40"/>
      <c r="G17" s="35"/>
      <c r="H17" s="42"/>
      <c r="I17" s="147"/>
      <c r="J17" s="1"/>
    </row>
    <row r="18" spans="2:10">
      <c r="B18" s="1"/>
      <c r="C18" s="1"/>
      <c r="D18" s="49"/>
      <c r="E18" s="1"/>
      <c r="F18" s="1"/>
      <c r="G18" s="23"/>
      <c r="H18" s="1"/>
      <c r="I18" s="150"/>
      <c r="J18" s="1"/>
    </row>
    <row r="19" spans="2:10">
      <c r="B19" s="1"/>
      <c r="C19" s="1"/>
      <c r="D19" s="49"/>
      <c r="E19" s="1"/>
      <c r="F19" s="1"/>
      <c r="G19" s="1"/>
      <c r="H19" s="1"/>
      <c r="I19" s="150"/>
      <c r="J19" s="1"/>
    </row>
    <row r="20" spans="2:10">
      <c r="B20" s="1"/>
      <c r="C20" s="1"/>
      <c r="D20" s="49"/>
      <c r="E20" s="1"/>
      <c r="F20" s="1"/>
      <c r="G20" s="1"/>
      <c r="H20" s="1"/>
      <c r="I20" s="150"/>
      <c r="J20" s="1"/>
    </row>
  </sheetData>
  <phoneticPr fontId="20" type="noConversion"/>
  <printOptions gridLines="1"/>
  <pageMargins left="0.75" right="0.75" top="1" bottom="1" header="0.5" footer="0.5"/>
  <pageSetup scale="63" orientation="landscape" horizontalDpi="4294967294" verticalDpi="20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V18"/>
  <sheetViews>
    <sheetView workbookViewId="0">
      <selection activeCell="B1" sqref="B1"/>
    </sheetView>
  </sheetViews>
  <sheetFormatPr defaultColWidth="8.88671875" defaultRowHeight="13.2"/>
  <cols>
    <col min="2" max="2" width="50.88671875" customWidth="1"/>
    <col min="3" max="6" width="10.33203125" customWidth="1"/>
    <col min="8" max="8" width="10.44140625" customWidth="1"/>
    <col min="10" max="10" width="10.109375" customWidth="1"/>
  </cols>
  <sheetData>
    <row r="1" spans="1:22" ht="17.399999999999999">
      <c r="B1" s="334" t="s">
        <v>186</v>
      </c>
      <c r="C1" s="27"/>
      <c r="D1" s="27"/>
      <c r="E1" s="27"/>
      <c r="F1" s="27" t="s">
        <v>47</v>
      </c>
      <c r="G1" s="28">
        <f>MAX(F4:F9)</f>
        <v>926</v>
      </c>
      <c r="H1" s="27" t="s">
        <v>48</v>
      </c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2">
      <c r="B2" s="133" t="s">
        <v>86</v>
      </c>
      <c r="C2" s="27"/>
      <c r="D2" s="27"/>
      <c r="E2" s="27"/>
      <c r="F2" s="27" t="s">
        <v>46</v>
      </c>
      <c r="G2" s="28">
        <f>MIN(F4:F110)</f>
        <v>665</v>
      </c>
      <c r="H2" s="27" t="s">
        <v>48</v>
      </c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</row>
    <row r="3" spans="1:22">
      <c r="C3" s="97" t="s">
        <v>43</v>
      </c>
      <c r="D3" s="97" t="s">
        <v>44</v>
      </c>
      <c r="E3" s="97" t="s">
        <v>45</v>
      </c>
      <c r="F3" s="38" t="s">
        <v>20</v>
      </c>
      <c r="H3" s="34"/>
      <c r="I3" s="2" t="s">
        <v>23</v>
      </c>
    </row>
    <row r="4" spans="1:22" ht="21">
      <c r="A4" s="327">
        <v>101</v>
      </c>
      <c r="B4" s="322" t="s">
        <v>149</v>
      </c>
      <c r="C4" s="255">
        <v>209</v>
      </c>
      <c r="D4" s="257">
        <v>197</v>
      </c>
      <c r="E4" s="257">
        <v>259</v>
      </c>
      <c r="F4" s="141">
        <f t="shared" ref="F4:F11" si="0">SUM(C4:E4)</f>
        <v>665</v>
      </c>
      <c r="G4" s="103"/>
      <c r="H4" s="16"/>
      <c r="I4" s="16">
        <f>RANK($F4,$F$4:$F$12)</f>
        <v>8</v>
      </c>
    </row>
    <row r="5" spans="1:22" ht="23.4">
      <c r="A5" s="327">
        <v>102</v>
      </c>
      <c r="B5" s="323" t="s">
        <v>151</v>
      </c>
      <c r="C5" s="258">
        <v>144</v>
      </c>
      <c r="D5" s="259">
        <v>198</v>
      </c>
      <c r="E5" s="259">
        <v>414</v>
      </c>
      <c r="F5" s="141">
        <f t="shared" si="0"/>
        <v>756</v>
      </c>
      <c r="G5" s="103"/>
      <c r="H5" s="16"/>
      <c r="I5" s="16">
        <f t="shared" ref="I5:I11" si="1">RANK($F5,$F$4:$F$12)</f>
        <v>5</v>
      </c>
    </row>
    <row r="6" spans="1:22" ht="23.4">
      <c r="A6" s="327">
        <v>103</v>
      </c>
      <c r="B6" s="323" t="s">
        <v>147</v>
      </c>
      <c r="C6" s="258">
        <v>185</v>
      </c>
      <c r="D6" s="259">
        <v>202</v>
      </c>
      <c r="E6" s="259">
        <v>357</v>
      </c>
      <c r="F6" s="141">
        <f t="shared" si="0"/>
        <v>744</v>
      </c>
      <c r="G6" s="103"/>
      <c r="H6" s="16"/>
      <c r="I6" s="16">
        <f t="shared" si="1"/>
        <v>6</v>
      </c>
    </row>
    <row r="7" spans="1:22" ht="23.4">
      <c r="A7" s="327">
        <v>104</v>
      </c>
      <c r="B7" s="323" t="s">
        <v>148</v>
      </c>
      <c r="C7" s="258">
        <v>182</v>
      </c>
      <c r="D7" s="258">
        <v>179</v>
      </c>
      <c r="E7" s="258">
        <v>318</v>
      </c>
      <c r="F7" s="141">
        <f t="shared" si="0"/>
        <v>679</v>
      </c>
      <c r="G7" s="103"/>
      <c r="H7" s="16"/>
      <c r="I7" s="16">
        <f t="shared" si="1"/>
        <v>7</v>
      </c>
    </row>
    <row r="8" spans="1:22" ht="23.4">
      <c r="A8" s="327">
        <v>106</v>
      </c>
      <c r="B8" s="323" t="s">
        <v>152</v>
      </c>
      <c r="C8" s="258">
        <v>202</v>
      </c>
      <c r="D8" s="259">
        <v>206</v>
      </c>
      <c r="E8" s="259">
        <v>377</v>
      </c>
      <c r="F8" s="141">
        <f t="shared" si="0"/>
        <v>785</v>
      </c>
      <c r="G8" s="103"/>
      <c r="H8" s="16"/>
      <c r="I8" s="16">
        <f t="shared" si="1"/>
        <v>4</v>
      </c>
    </row>
    <row r="9" spans="1:22" ht="46.8">
      <c r="A9" s="327">
        <v>107</v>
      </c>
      <c r="B9" s="323" t="s">
        <v>153</v>
      </c>
      <c r="C9" s="255">
        <v>163</v>
      </c>
      <c r="D9" s="255">
        <v>245</v>
      </c>
      <c r="E9" s="255">
        <v>518</v>
      </c>
      <c r="F9" s="141">
        <f t="shared" si="0"/>
        <v>926</v>
      </c>
      <c r="G9" s="103"/>
      <c r="H9" s="16"/>
      <c r="I9" s="16">
        <f t="shared" si="1"/>
        <v>3</v>
      </c>
      <c r="J9" s="220"/>
    </row>
    <row r="10" spans="1:22" ht="23.4">
      <c r="A10" s="327">
        <v>108</v>
      </c>
      <c r="B10" s="323" t="s">
        <v>150</v>
      </c>
      <c r="C10" s="255">
        <v>199</v>
      </c>
      <c r="D10" s="255">
        <v>266</v>
      </c>
      <c r="E10" s="255">
        <v>493</v>
      </c>
      <c r="F10" s="141">
        <f t="shared" si="0"/>
        <v>958</v>
      </c>
      <c r="G10" s="103"/>
      <c r="H10" s="16"/>
      <c r="I10" s="16">
        <f t="shared" si="1"/>
        <v>1</v>
      </c>
      <c r="J10" s="220"/>
    </row>
    <row r="11" spans="1:22" ht="23.4">
      <c r="A11" s="327">
        <v>111</v>
      </c>
      <c r="B11" s="323" t="s">
        <v>182</v>
      </c>
      <c r="C11" s="255">
        <v>226</v>
      </c>
      <c r="D11" s="255">
        <v>260</v>
      </c>
      <c r="E11" s="255">
        <v>448</v>
      </c>
      <c r="F11" s="141">
        <f t="shared" si="0"/>
        <v>934</v>
      </c>
      <c r="G11" s="103"/>
      <c r="H11" s="16"/>
      <c r="I11" s="16">
        <f t="shared" si="1"/>
        <v>2</v>
      </c>
      <c r="J11" s="220"/>
    </row>
    <row r="12" spans="1:22" ht="46.8">
      <c r="A12" s="327">
        <v>112</v>
      </c>
      <c r="B12" s="323" t="s">
        <v>183</v>
      </c>
      <c r="C12" s="443" t="s">
        <v>154</v>
      </c>
      <c r="D12" s="237"/>
      <c r="E12" s="237"/>
      <c r="F12" s="141"/>
    </row>
    <row r="13" spans="1:22">
      <c r="F13" s="50"/>
    </row>
    <row r="14" spans="1:22">
      <c r="F14" s="50"/>
    </row>
    <row r="15" spans="1:22">
      <c r="F15" s="50"/>
    </row>
    <row r="16" spans="1:22">
      <c r="F16" s="50"/>
    </row>
    <row r="17" spans="6:6">
      <c r="F17" s="50"/>
    </row>
    <row r="18" spans="6:6">
      <c r="F18" s="50"/>
    </row>
  </sheetData>
  <phoneticPr fontId="20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35"/>
  <sheetViews>
    <sheetView zoomScale="50" zoomScaleNormal="50" zoomScalePageLayoutView="85" workbookViewId="0">
      <pane ySplit="3" topLeftCell="A4" activePane="bottomLeft" state="frozen"/>
      <selection pane="bottomLeft"/>
    </sheetView>
  </sheetViews>
  <sheetFormatPr defaultColWidth="9.109375" defaultRowHeight="13.2"/>
  <cols>
    <col min="1" max="1" width="14.5546875" style="107" customWidth="1"/>
    <col min="2" max="2" width="14.44140625" style="53" customWidth="1"/>
    <col min="3" max="4" width="15.6640625" style="107" customWidth="1"/>
    <col min="5" max="5" width="18.21875" style="118" customWidth="1"/>
    <col min="6" max="6" width="15.6640625" style="118" customWidth="1"/>
    <col min="7" max="10" width="15.6640625" style="53" customWidth="1"/>
    <col min="11" max="11" width="18.44140625" style="53" customWidth="1"/>
    <col min="12" max="16384" width="9.109375" style="53"/>
  </cols>
  <sheetData>
    <row r="1" spans="1:12" s="235" customFormat="1" ht="17.399999999999999">
      <c r="A1" s="328" t="s">
        <v>184</v>
      </c>
      <c r="B1" s="139"/>
      <c r="C1" s="186"/>
      <c r="D1" s="186"/>
      <c r="E1" s="139"/>
      <c r="F1" s="139"/>
      <c r="G1" s="139"/>
      <c r="H1" s="139"/>
      <c r="I1" s="139"/>
      <c r="J1" s="139"/>
      <c r="K1" s="139"/>
      <c r="L1" s="139"/>
    </row>
    <row r="2" spans="1:12" s="235" customFormat="1" ht="21">
      <c r="A2" s="199"/>
      <c r="B2" s="139"/>
      <c r="C2" s="327">
        <v>101</v>
      </c>
      <c r="D2" s="327">
        <v>102</v>
      </c>
      <c r="E2" s="327">
        <v>103</v>
      </c>
      <c r="F2" s="327">
        <v>104</v>
      </c>
      <c r="G2" s="327">
        <v>106</v>
      </c>
      <c r="H2" s="327">
        <v>107</v>
      </c>
      <c r="I2" s="327">
        <v>108</v>
      </c>
      <c r="J2" s="327">
        <v>111</v>
      </c>
      <c r="K2" s="327">
        <v>112</v>
      </c>
      <c r="L2" s="139"/>
    </row>
    <row r="3" spans="1:12" ht="117">
      <c r="A3" s="236" t="s">
        <v>130</v>
      </c>
      <c r="B3" s="236" t="s">
        <v>131</v>
      </c>
      <c r="C3" s="322" t="s">
        <v>149</v>
      </c>
      <c r="D3" s="323" t="s">
        <v>151</v>
      </c>
      <c r="E3" s="323" t="s">
        <v>147</v>
      </c>
      <c r="F3" s="323" t="s">
        <v>148</v>
      </c>
      <c r="G3" s="323" t="s">
        <v>152</v>
      </c>
      <c r="H3" s="323" t="s">
        <v>153</v>
      </c>
      <c r="I3" s="323" t="s">
        <v>150</v>
      </c>
      <c r="J3" s="323" t="s">
        <v>182</v>
      </c>
      <c r="K3" s="323" t="s">
        <v>183</v>
      </c>
      <c r="L3" s="242" t="s">
        <v>123</v>
      </c>
    </row>
    <row r="4" spans="1:12" s="207" customFormat="1" ht="15">
      <c r="A4" s="239">
        <v>1</v>
      </c>
      <c r="B4" s="240"/>
      <c r="C4" s="226">
        <v>78</v>
      </c>
      <c r="D4" s="226">
        <v>80</v>
      </c>
      <c r="E4" s="226">
        <v>85</v>
      </c>
      <c r="F4" s="226"/>
      <c r="G4" s="226"/>
      <c r="H4" s="226"/>
      <c r="I4" s="219"/>
      <c r="J4" s="219"/>
      <c r="K4" s="219"/>
      <c r="L4" s="234">
        <f>COUNTA(C4:K4)</f>
        <v>3</v>
      </c>
    </row>
    <row r="5" spans="1:12" ht="15">
      <c r="A5" s="239">
        <f>A4+1</f>
        <v>2</v>
      </c>
      <c r="B5" s="208"/>
      <c r="C5" s="219"/>
      <c r="D5" s="219"/>
      <c r="E5" s="219"/>
      <c r="F5" s="219">
        <v>69</v>
      </c>
      <c r="G5" s="219">
        <v>65</v>
      </c>
      <c r="H5" s="219">
        <v>48</v>
      </c>
      <c r="I5" s="219">
        <v>58</v>
      </c>
      <c r="J5" s="219"/>
      <c r="K5" s="219"/>
      <c r="L5" s="234">
        <f t="shared" ref="L5:L28" si="0">COUNTA(C5:K5)</f>
        <v>4</v>
      </c>
    </row>
    <row r="6" spans="1:12" ht="15">
      <c r="A6" s="239">
        <f t="shared" ref="A6:A28" si="1">A5+1</f>
        <v>3</v>
      </c>
      <c r="B6" s="208"/>
      <c r="C6" s="219">
        <v>47</v>
      </c>
      <c r="D6" s="219">
        <v>52</v>
      </c>
      <c r="E6" s="219"/>
      <c r="F6" s="219"/>
      <c r="G6" s="219"/>
      <c r="H6" s="219"/>
      <c r="I6" s="219"/>
      <c r="J6" s="219"/>
      <c r="K6" s="219"/>
      <c r="L6" s="234">
        <f t="shared" si="0"/>
        <v>2</v>
      </c>
    </row>
    <row r="7" spans="1:12" ht="15">
      <c r="A7" s="239">
        <f t="shared" si="1"/>
        <v>4</v>
      </c>
      <c r="B7" s="208"/>
      <c r="C7" s="219"/>
      <c r="D7" s="219"/>
      <c r="E7" s="219"/>
      <c r="F7" s="219"/>
      <c r="G7" s="219">
        <v>50</v>
      </c>
      <c r="H7" s="219">
        <v>27</v>
      </c>
      <c r="I7" s="219">
        <v>52</v>
      </c>
      <c r="J7" s="219"/>
      <c r="K7" s="219"/>
      <c r="L7" s="234">
        <f t="shared" si="0"/>
        <v>3</v>
      </c>
    </row>
    <row r="8" spans="1:12" ht="15">
      <c r="A8" s="239">
        <f t="shared" si="1"/>
        <v>5</v>
      </c>
      <c r="B8" s="208"/>
      <c r="C8" s="219"/>
      <c r="D8" s="219"/>
      <c r="E8" s="219">
        <v>50</v>
      </c>
      <c r="F8" s="219">
        <v>63</v>
      </c>
      <c r="G8" s="219">
        <v>70</v>
      </c>
      <c r="H8" s="219">
        <v>77</v>
      </c>
      <c r="I8" s="219"/>
      <c r="J8" s="219"/>
      <c r="K8" s="219"/>
      <c r="L8" s="234">
        <f t="shared" si="0"/>
        <v>4</v>
      </c>
    </row>
    <row r="9" spans="1:12" s="109" customFormat="1" ht="15">
      <c r="A9" s="239">
        <f t="shared" si="1"/>
        <v>6</v>
      </c>
      <c r="B9" s="208"/>
      <c r="C9" s="219">
        <v>70</v>
      </c>
      <c r="D9" s="219">
        <v>49</v>
      </c>
      <c r="E9" s="219">
        <v>52</v>
      </c>
      <c r="F9" s="219">
        <v>58</v>
      </c>
      <c r="G9" s="219">
        <v>76</v>
      </c>
      <c r="H9" s="219">
        <v>74</v>
      </c>
      <c r="I9" s="219">
        <v>72</v>
      </c>
      <c r="J9" s="219">
        <v>87</v>
      </c>
      <c r="K9" s="219">
        <v>79</v>
      </c>
      <c r="L9" s="234">
        <f t="shared" si="0"/>
        <v>9</v>
      </c>
    </row>
    <row r="10" spans="1:12" ht="15">
      <c r="A10" s="239">
        <f t="shared" si="1"/>
        <v>7</v>
      </c>
      <c r="B10" s="238"/>
      <c r="C10" s="219">
        <v>76</v>
      </c>
      <c r="D10" s="219">
        <v>85</v>
      </c>
      <c r="E10" s="219"/>
      <c r="F10" s="219"/>
      <c r="G10" s="219"/>
      <c r="H10" s="219"/>
      <c r="I10" s="219"/>
      <c r="J10" s="219"/>
      <c r="K10" s="219"/>
      <c r="L10" s="234">
        <f t="shared" si="0"/>
        <v>2</v>
      </c>
    </row>
    <row r="11" spans="1:12" ht="15">
      <c r="A11" s="239">
        <f t="shared" si="1"/>
        <v>8</v>
      </c>
      <c r="B11" s="208"/>
      <c r="C11" s="219"/>
      <c r="D11" s="219"/>
      <c r="E11" s="219"/>
      <c r="F11" s="219"/>
      <c r="G11" s="219"/>
      <c r="H11" s="219">
        <v>91</v>
      </c>
      <c r="I11" s="219"/>
      <c r="J11" s="219"/>
      <c r="K11" s="219"/>
      <c r="L11" s="234">
        <f t="shared" si="0"/>
        <v>1</v>
      </c>
    </row>
    <row r="12" spans="1:12" ht="15">
      <c r="A12" s="239">
        <f t="shared" si="1"/>
        <v>9</v>
      </c>
      <c r="B12" s="208"/>
      <c r="C12" s="219"/>
      <c r="D12" s="219"/>
      <c r="E12" s="219">
        <v>77</v>
      </c>
      <c r="F12" s="219">
        <v>78</v>
      </c>
      <c r="G12" s="219">
        <v>78</v>
      </c>
      <c r="H12" s="219">
        <v>75</v>
      </c>
      <c r="I12" s="219"/>
      <c r="J12" s="219"/>
      <c r="K12" s="219"/>
      <c r="L12" s="234">
        <f t="shared" si="0"/>
        <v>4</v>
      </c>
    </row>
    <row r="13" spans="1:12" ht="15">
      <c r="A13" s="239">
        <f t="shared" si="1"/>
        <v>10</v>
      </c>
      <c r="B13" s="208"/>
      <c r="C13" s="219">
        <v>38</v>
      </c>
      <c r="D13" s="219">
        <v>54</v>
      </c>
      <c r="E13" s="219"/>
      <c r="F13" s="219"/>
      <c r="G13" s="219"/>
      <c r="H13" s="219"/>
      <c r="I13" s="219"/>
      <c r="J13" s="219"/>
      <c r="K13" s="219"/>
      <c r="L13" s="234">
        <f t="shared" si="0"/>
        <v>2</v>
      </c>
    </row>
    <row r="14" spans="1:12" ht="15">
      <c r="A14" s="239">
        <f t="shared" si="1"/>
        <v>11</v>
      </c>
      <c r="B14" s="208"/>
      <c r="C14" s="219">
        <f>5+15+12+2+3+5+6+2</f>
        <v>50</v>
      </c>
      <c r="D14" s="219">
        <f>10+20+15+7+5+5+10+1</f>
        <v>73</v>
      </c>
      <c r="E14" s="219">
        <f>7+10+10+5+4+8+5+3</f>
        <v>52</v>
      </c>
      <c r="F14" s="219"/>
      <c r="G14" s="219"/>
      <c r="H14" s="219"/>
      <c r="I14" s="219"/>
      <c r="J14" s="219"/>
      <c r="K14" s="219"/>
      <c r="L14" s="234">
        <f t="shared" si="0"/>
        <v>3</v>
      </c>
    </row>
    <row r="15" spans="1:12" ht="15">
      <c r="A15" s="239">
        <f t="shared" si="1"/>
        <v>12</v>
      </c>
      <c r="B15" s="208"/>
      <c r="C15" s="219"/>
      <c r="D15" s="219"/>
      <c r="E15" s="219">
        <f>8+9+8+8+8+6+8+7</f>
        <v>62</v>
      </c>
      <c r="F15" s="219">
        <f>6+8+7+7+7+8+8+7</f>
        <v>58</v>
      </c>
      <c r="G15" s="219">
        <f>7+7+7+8+8+7+8+7</f>
        <v>59</v>
      </c>
      <c r="H15" s="219"/>
      <c r="I15" s="219"/>
      <c r="J15" s="219">
        <f>7+7+7+8+8+8+7+7</f>
        <v>59</v>
      </c>
      <c r="K15" s="219"/>
      <c r="L15" s="234">
        <f t="shared" si="0"/>
        <v>4</v>
      </c>
    </row>
    <row r="16" spans="1:12" ht="15">
      <c r="A16" s="239">
        <f t="shared" si="1"/>
        <v>13</v>
      </c>
      <c r="B16" s="208"/>
      <c r="C16" s="219">
        <v>32</v>
      </c>
      <c r="D16" s="219">
        <v>18</v>
      </c>
      <c r="E16" s="219">
        <v>27</v>
      </c>
      <c r="F16" s="219">
        <v>61</v>
      </c>
      <c r="G16" s="219">
        <v>53</v>
      </c>
      <c r="H16" s="219">
        <v>60</v>
      </c>
      <c r="I16" s="219">
        <v>41</v>
      </c>
      <c r="J16" s="219">
        <v>40</v>
      </c>
      <c r="K16" s="219">
        <v>92</v>
      </c>
      <c r="L16" s="234">
        <f t="shared" si="0"/>
        <v>9</v>
      </c>
    </row>
    <row r="17" spans="1:12" ht="15">
      <c r="A17" s="239">
        <f t="shared" si="1"/>
        <v>14</v>
      </c>
      <c r="B17" s="208"/>
      <c r="C17" s="219"/>
      <c r="D17" s="219"/>
      <c r="E17" s="219"/>
      <c r="F17" s="219"/>
      <c r="G17" s="219"/>
      <c r="H17" s="219">
        <f>10+25+15+10+5+8+10+3</f>
        <v>86</v>
      </c>
      <c r="I17" s="219">
        <f>10+25+13+12+10+8+10+5</f>
        <v>93</v>
      </c>
      <c r="J17" s="219">
        <f>10+20+12+13+8+9+10+2</f>
        <v>84</v>
      </c>
      <c r="K17" s="219">
        <f>7+17+15+8+10+7+5+5</f>
        <v>74</v>
      </c>
      <c r="L17" s="234">
        <f t="shared" si="0"/>
        <v>4</v>
      </c>
    </row>
    <row r="18" spans="1:12" ht="15">
      <c r="A18" s="239">
        <f t="shared" si="1"/>
        <v>15</v>
      </c>
      <c r="B18" s="209"/>
      <c r="C18" s="219"/>
      <c r="D18" s="219"/>
      <c r="E18" s="219">
        <f>9+19+9+13+5+9+9+5</f>
        <v>78</v>
      </c>
      <c r="F18" s="219">
        <v>85</v>
      </c>
      <c r="G18" s="219"/>
      <c r="H18" s="219"/>
      <c r="I18" s="219"/>
      <c r="J18" s="219"/>
      <c r="K18" s="219"/>
      <c r="L18" s="234">
        <f t="shared" si="0"/>
        <v>2</v>
      </c>
    </row>
    <row r="19" spans="1:12" ht="15">
      <c r="A19" s="239">
        <f t="shared" si="1"/>
        <v>16</v>
      </c>
      <c r="B19" s="209"/>
      <c r="C19" s="219">
        <v>82</v>
      </c>
      <c r="D19" s="219"/>
      <c r="E19" s="219">
        <v>85</v>
      </c>
      <c r="F19" s="219"/>
      <c r="G19" s="219"/>
      <c r="H19" s="219"/>
      <c r="I19" s="219"/>
      <c r="J19" s="219"/>
      <c r="K19" s="219"/>
      <c r="L19" s="234">
        <f t="shared" si="0"/>
        <v>2</v>
      </c>
    </row>
    <row r="20" spans="1:12" ht="15">
      <c r="A20" s="239">
        <f t="shared" si="1"/>
        <v>17</v>
      </c>
      <c r="B20" s="208"/>
      <c r="C20" s="362"/>
      <c r="D20" s="219"/>
      <c r="E20" s="219"/>
      <c r="F20" s="219"/>
      <c r="G20" s="219">
        <v>55</v>
      </c>
      <c r="H20" s="219"/>
      <c r="I20" s="219"/>
      <c r="J20" s="219"/>
      <c r="K20" s="219">
        <v>49</v>
      </c>
      <c r="L20" s="234">
        <f t="shared" si="0"/>
        <v>2</v>
      </c>
    </row>
    <row r="21" spans="1:12" ht="15">
      <c r="A21" s="239">
        <f t="shared" si="1"/>
        <v>18</v>
      </c>
      <c r="B21" s="208"/>
      <c r="C21" s="362">
        <v>62</v>
      </c>
      <c r="D21" s="219">
        <v>58</v>
      </c>
      <c r="E21" s="219">
        <v>51</v>
      </c>
      <c r="F21" s="219">
        <v>79</v>
      </c>
      <c r="G21" s="219"/>
      <c r="H21" s="219"/>
      <c r="I21" s="219"/>
      <c r="J21" s="219"/>
      <c r="K21" s="219"/>
      <c r="L21" s="234">
        <f t="shared" si="0"/>
        <v>4</v>
      </c>
    </row>
    <row r="22" spans="1:12" ht="15">
      <c r="A22" s="239">
        <f t="shared" si="1"/>
        <v>19</v>
      </c>
      <c r="B22" s="256"/>
      <c r="C22" s="362">
        <v>68</v>
      </c>
      <c r="D22" s="219">
        <v>67</v>
      </c>
      <c r="E22" s="219">
        <v>64</v>
      </c>
      <c r="F22" s="219">
        <v>68</v>
      </c>
      <c r="G22" s="219">
        <v>58</v>
      </c>
      <c r="H22" s="219">
        <v>69</v>
      </c>
      <c r="I22" s="219">
        <v>72</v>
      </c>
      <c r="J22" s="219">
        <v>80</v>
      </c>
      <c r="K22" s="219"/>
      <c r="L22" s="234">
        <f t="shared" si="0"/>
        <v>8</v>
      </c>
    </row>
    <row r="23" spans="1:12" ht="15">
      <c r="A23" s="239">
        <f t="shared" si="1"/>
        <v>20</v>
      </c>
      <c r="B23" s="208"/>
      <c r="C23" s="362">
        <v>61</v>
      </c>
      <c r="D23" s="219">
        <v>70</v>
      </c>
      <c r="E23" s="219"/>
      <c r="F23" s="219"/>
      <c r="G23" s="219"/>
      <c r="H23" s="219"/>
      <c r="I23" s="219"/>
      <c r="J23" s="219"/>
      <c r="K23" s="219"/>
      <c r="L23" s="234">
        <f t="shared" si="0"/>
        <v>2</v>
      </c>
    </row>
    <row r="24" spans="1:12" ht="15">
      <c r="A24" s="239">
        <f t="shared" si="1"/>
        <v>21</v>
      </c>
      <c r="B24" s="209"/>
      <c r="C24" s="219">
        <v>75</v>
      </c>
      <c r="D24" s="219">
        <v>71</v>
      </c>
      <c r="E24" s="219"/>
      <c r="F24" s="219"/>
      <c r="G24" s="219"/>
      <c r="H24" s="219"/>
      <c r="I24" s="219"/>
      <c r="J24" s="219"/>
      <c r="K24" s="219"/>
      <c r="L24" s="234">
        <f t="shared" si="0"/>
        <v>2</v>
      </c>
    </row>
    <row r="25" spans="1:12" ht="15">
      <c r="A25" s="239">
        <f t="shared" si="1"/>
        <v>22</v>
      </c>
      <c r="B25" s="208"/>
      <c r="C25" s="219">
        <v>65</v>
      </c>
      <c r="D25" s="219">
        <v>56</v>
      </c>
      <c r="E25" s="219"/>
      <c r="F25" s="219"/>
      <c r="G25" s="219"/>
      <c r="H25" s="219"/>
      <c r="I25" s="219"/>
      <c r="J25" s="219"/>
      <c r="K25" s="219"/>
      <c r="L25" s="234">
        <f t="shared" si="0"/>
        <v>2</v>
      </c>
    </row>
    <row r="26" spans="1:12" ht="15">
      <c r="A26" s="239">
        <f t="shared" si="1"/>
        <v>23</v>
      </c>
      <c r="B26" s="208"/>
      <c r="C26" s="219"/>
      <c r="D26" s="219"/>
      <c r="E26" s="219"/>
      <c r="F26" s="219"/>
      <c r="G26" s="219"/>
      <c r="H26" s="219"/>
      <c r="I26" s="219"/>
      <c r="J26" s="219"/>
      <c r="K26" s="219"/>
      <c r="L26" s="234">
        <f t="shared" si="0"/>
        <v>0</v>
      </c>
    </row>
    <row r="27" spans="1:12" ht="15">
      <c r="A27" s="239">
        <f t="shared" si="1"/>
        <v>24</v>
      </c>
      <c r="B27" s="209"/>
      <c r="C27" s="219"/>
      <c r="D27" s="219"/>
      <c r="E27" s="219"/>
      <c r="F27" s="219"/>
      <c r="G27" s="219"/>
      <c r="H27" s="219"/>
      <c r="I27" s="219"/>
      <c r="J27" s="219"/>
      <c r="K27" s="219"/>
      <c r="L27" s="234">
        <f t="shared" si="0"/>
        <v>0</v>
      </c>
    </row>
    <row r="28" spans="1:12" ht="15">
      <c r="A28" s="239">
        <f t="shared" si="1"/>
        <v>25</v>
      </c>
      <c r="B28" s="209"/>
      <c r="C28" s="219"/>
      <c r="D28" s="219"/>
      <c r="E28" s="219"/>
      <c r="F28" s="219"/>
      <c r="G28" s="219"/>
      <c r="H28" s="219"/>
      <c r="I28" s="219"/>
      <c r="J28" s="219"/>
      <c r="K28" s="219"/>
      <c r="L28" s="234">
        <f t="shared" si="0"/>
        <v>0</v>
      </c>
    </row>
    <row r="29" spans="1:12">
      <c r="A29" s="186"/>
      <c r="B29" s="185"/>
      <c r="C29" s="186"/>
      <c r="D29" s="186"/>
      <c r="E29" s="186"/>
      <c r="F29" s="186"/>
      <c r="G29" s="186"/>
      <c r="H29" s="186"/>
      <c r="I29" s="186"/>
      <c r="J29" s="186"/>
      <c r="K29" s="186"/>
      <c r="L29" s="185"/>
    </row>
    <row r="30" spans="1:12">
      <c r="A30" s="186" t="s">
        <v>57</v>
      </c>
      <c r="B30" s="185"/>
      <c r="C30" s="142">
        <f>AVERAGE(C4:C28)</f>
        <v>61.846153846153847</v>
      </c>
      <c r="D30" s="142">
        <f t="shared" ref="D30:J30" si="2">AVERAGE(D4:D28)</f>
        <v>61.083333333333336</v>
      </c>
      <c r="E30" s="142">
        <f t="shared" si="2"/>
        <v>62.090909090909093</v>
      </c>
      <c r="F30" s="142">
        <f t="shared" si="2"/>
        <v>68.777777777777771</v>
      </c>
      <c r="G30" s="142">
        <f t="shared" si="2"/>
        <v>62.666666666666664</v>
      </c>
      <c r="H30" s="142">
        <f t="shared" si="2"/>
        <v>67.444444444444443</v>
      </c>
      <c r="I30" s="142">
        <f t="shared" si="2"/>
        <v>64.666666666666671</v>
      </c>
      <c r="J30" s="142">
        <f t="shared" si="2"/>
        <v>70</v>
      </c>
      <c r="K30" s="142">
        <f t="shared" ref="K30" si="3">AVERAGE(K4:K28)</f>
        <v>73.5</v>
      </c>
      <c r="L30" s="185"/>
    </row>
    <row r="31" spans="1:12">
      <c r="A31" s="186" t="s">
        <v>41</v>
      </c>
      <c r="B31" s="185"/>
      <c r="C31" s="142">
        <f t="shared" ref="C31:J31" si="4">IF(C30&lt;5, 5,C30)</f>
        <v>61.846153846153847</v>
      </c>
      <c r="D31" s="142">
        <f t="shared" si="4"/>
        <v>61.083333333333336</v>
      </c>
      <c r="E31" s="142">
        <f t="shared" si="4"/>
        <v>62.090909090909093</v>
      </c>
      <c r="F31" s="142">
        <f t="shared" si="4"/>
        <v>68.777777777777771</v>
      </c>
      <c r="G31" s="142">
        <f t="shared" si="4"/>
        <v>62.666666666666664</v>
      </c>
      <c r="H31" s="142">
        <f t="shared" si="4"/>
        <v>67.444444444444443</v>
      </c>
      <c r="I31" s="142">
        <f t="shared" si="4"/>
        <v>64.666666666666671</v>
      </c>
      <c r="J31" s="142">
        <f t="shared" si="4"/>
        <v>70</v>
      </c>
      <c r="K31" s="142">
        <f t="shared" ref="K31" si="5">IF(K30&lt;5, 5,K30)</f>
        <v>73.5</v>
      </c>
      <c r="L31" s="185"/>
    </row>
    <row r="32" spans="1:12">
      <c r="A32" s="186"/>
      <c r="B32" s="185"/>
      <c r="C32" s="186"/>
      <c r="D32" s="186"/>
      <c r="E32" s="186"/>
      <c r="F32" s="186"/>
      <c r="G32" s="186"/>
      <c r="H32" s="186"/>
      <c r="I32" s="186"/>
      <c r="J32" s="186"/>
      <c r="K32" s="186"/>
      <c r="L32" s="185"/>
    </row>
    <row r="33" spans="1:12">
      <c r="A33" s="186"/>
      <c r="B33" s="185"/>
      <c r="C33" s="186"/>
      <c r="D33" s="186"/>
      <c r="E33" s="186"/>
      <c r="F33" s="186"/>
      <c r="G33" s="186"/>
      <c r="H33" s="186"/>
      <c r="I33" s="186"/>
      <c r="J33" s="186"/>
      <c r="K33" s="186"/>
      <c r="L33" s="185"/>
    </row>
    <row r="34" spans="1:12">
      <c r="A34" s="186"/>
      <c r="B34" s="186" t="s">
        <v>128</v>
      </c>
      <c r="C34" s="186">
        <f>RANK(C31,$C$31:$K$31)</f>
        <v>8</v>
      </c>
      <c r="D34" s="186">
        <f t="shared" ref="D34:K34" si="6">RANK(D31,$C$31:$K$31)</f>
        <v>9</v>
      </c>
      <c r="E34" s="186">
        <f t="shared" si="6"/>
        <v>7</v>
      </c>
      <c r="F34" s="186">
        <f t="shared" si="6"/>
        <v>3</v>
      </c>
      <c r="G34" s="186">
        <f t="shared" si="6"/>
        <v>6</v>
      </c>
      <c r="H34" s="186">
        <f t="shared" si="6"/>
        <v>4</v>
      </c>
      <c r="I34" s="186">
        <f t="shared" si="6"/>
        <v>5</v>
      </c>
      <c r="J34" s="186">
        <f t="shared" si="6"/>
        <v>2</v>
      </c>
      <c r="K34" s="186">
        <f t="shared" si="6"/>
        <v>1</v>
      </c>
      <c r="L34" s="185"/>
    </row>
    <row r="35" spans="1:12">
      <c r="A35" s="186"/>
      <c r="B35" s="185"/>
      <c r="C35" s="186"/>
      <c r="D35" s="186"/>
      <c r="E35" s="241"/>
      <c r="F35" s="241"/>
      <c r="G35" s="185"/>
      <c r="H35" s="185"/>
      <c r="I35" s="185"/>
      <c r="J35" s="185"/>
      <c r="K35" s="185"/>
      <c r="L35" s="185"/>
    </row>
  </sheetData>
  <phoneticPr fontId="20" type="noConversion"/>
  <printOptions gridLines="1"/>
  <pageMargins left="0.75" right="0.75" top="1" bottom="1" header="0.5" footer="0.5"/>
  <pageSetup scale="44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D16"/>
  <sheetViews>
    <sheetView zoomScale="75" workbookViewId="0">
      <selection activeCell="C5" sqref="C5:C13"/>
    </sheetView>
  </sheetViews>
  <sheetFormatPr defaultColWidth="8.88671875" defaultRowHeight="13.2"/>
  <cols>
    <col min="2" max="2" width="50.88671875" customWidth="1"/>
  </cols>
  <sheetData>
    <row r="1" spans="1:4" ht="17.399999999999999">
      <c r="B1" s="7" t="s">
        <v>185</v>
      </c>
      <c r="C1" s="6"/>
      <c r="D1" s="6"/>
    </row>
    <row r="2" spans="1:4">
      <c r="B2" s="6"/>
      <c r="C2" s="6"/>
      <c r="D2" s="6"/>
    </row>
    <row r="3" spans="1:4" ht="15">
      <c r="B3" s="243" t="s">
        <v>108</v>
      </c>
      <c r="C3" s="6"/>
      <c r="D3" s="6"/>
    </row>
    <row r="4" spans="1:4">
      <c r="B4" s="23"/>
      <c r="C4" s="22" t="s">
        <v>8</v>
      </c>
      <c r="D4" s="19"/>
    </row>
    <row r="5" spans="1:4" ht="23.4">
      <c r="A5" s="333">
        <v>101</v>
      </c>
      <c r="B5" s="323" t="s">
        <v>149</v>
      </c>
      <c r="C5" s="260">
        <v>50</v>
      </c>
      <c r="D5" s="254"/>
    </row>
    <row r="6" spans="1:4" ht="23.4">
      <c r="A6" s="333">
        <v>102</v>
      </c>
      <c r="B6" s="323" t="s">
        <v>151</v>
      </c>
      <c r="C6" s="260">
        <v>50</v>
      </c>
      <c r="D6" s="254"/>
    </row>
    <row r="7" spans="1:4" ht="23.4">
      <c r="A7" s="333">
        <v>103</v>
      </c>
      <c r="B7" s="323" t="s">
        <v>147</v>
      </c>
      <c r="C7" s="260">
        <v>50</v>
      </c>
      <c r="D7" s="254"/>
    </row>
    <row r="8" spans="1:4" ht="23.4">
      <c r="A8" s="333">
        <v>104</v>
      </c>
      <c r="B8" s="323" t="s">
        <v>148</v>
      </c>
      <c r="C8" s="260">
        <v>50</v>
      </c>
      <c r="D8" s="254"/>
    </row>
    <row r="9" spans="1:4" ht="23.4">
      <c r="A9" s="333">
        <v>106</v>
      </c>
      <c r="B9" s="323" t="s">
        <v>152</v>
      </c>
      <c r="C9" s="260">
        <v>50</v>
      </c>
      <c r="D9" s="254"/>
    </row>
    <row r="10" spans="1:4" ht="46.8">
      <c r="A10" s="333">
        <v>107</v>
      </c>
      <c r="B10" s="323" t="s">
        <v>153</v>
      </c>
      <c r="C10" s="260">
        <v>50</v>
      </c>
      <c r="D10" s="1"/>
    </row>
    <row r="11" spans="1:4" ht="23.4">
      <c r="A11" s="333">
        <v>108</v>
      </c>
      <c r="B11" s="323" t="s">
        <v>150</v>
      </c>
      <c r="C11" s="260">
        <v>50</v>
      </c>
      <c r="D11" s="1"/>
    </row>
    <row r="12" spans="1:4" ht="23.4">
      <c r="A12" s="333">
        <v>111</v>
      </c>
      <c r="B12" s="323" t="s">
        <v>182</v>
      </c>
      <c r="C12" s="260">
        <v>50</v>
      </c>
      <c r="D12" s="1"/>
    </row>
    <row r="13" spans="1:4" ht="46.8">
      <c r="A13" s="333">
        <v>112</v>
      </c>
      <c r="B13" s="323" t="s">
        <v>183</v>
      </c>
      <c r="C13" s="260">
        <v>50</v>
      </c>
    </row>
    <row r="14" spans="1:4">
      <c r="B14" s="21"/>
    </row>
    <row r="15" spans="1:4">
      <c r="B15" s="21"/>
    </row>
    <row r="16" spans="1:4">
      <c r="B16" s="21"/>
    </row>
  </sheetData>
  <phoneticPr fontId="20" type="noConversion"/>
  <printOptions gridLines="1"/>
  <pageMargins left="0.75" right="0.75" top="1" bottom="1" header="0.5" footer="0.5"/>
  <pageSetup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T29"/>
  <sheetViews>
    <sheetView zoomScale="70" zoomScaleNormal="70" workbookViewId="0">
      <selection activeCell="C24" sqref="C24"/>
    </sheetView>
  </sheetViews>
  <sheetFormatPr defaultColWidth="8.88671875" defaultRowHeight="13.2"/>
  <cols>
    <col min="2" max="2" width="49.88671875" customWidth="1"/>
    <col min="3" max="3" width="11.44140625" bestFit="1" customWidth="1"/>
    <col min="4" max="4" width="12.44140625" customWidth="1"/>
    <col min="5" max="5" width="9.109375" hidden="1" customWidth="1"/>
    <col min="6" max="6" width="8.88671875" style="133"/>
    <col min="8" max="8" width="16.44140625" hidden="1" customWidth="1"/>
    <col min="9" max="9" width="11.44140625" customWidth="1"/>
    <col min="10" max="10" width="13.44140625" customWidth="1"/>
    <col min="11" max="11" width="13.109375" customWidth="1"/>
  </cols>
  <sheetData>
    <row r="1" spans="1:20" ht="17.399999999999999">
      <c r="B1" s="7" t="s">
        <v>195</v>
      </c>
      <c r="C1" s="6"/>
      <c r="D1" s="6"/>
      <c r="E1" s="6"/>
    </row>
    <row r="2" spans="1:20" s="53" customFormat="1">
      <c r="B2" s="140"/>
      <c r="C2" s="140"/>
      <c r="D2" s="140"/>
      <c r="E2" s="140"/>
      <c r="F2" s="133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</row>
    <row r="3" spans="1:20" s="53" customFormat="1">
      <c r="B3" s="140"/>
      <c r="C3" s="244"/>
      <c r="D3" s="245"/>
      <c r="E3" s="140"/>
      <c r="F3" s="133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</row>
    <row r="4" spans="1:20" s="53" customFormat="1">
      <c r="B4" s="140"/>
      <c r="C4" s="244"/>
      <c r="D4" s="245"/>
      <c r="E4" s="140"/>
      <c r="F4" s="133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</row>
    <row r="5" spans="1:20" s="53" customFormat="1" ht="17.399999999999999">
      <c r="B5" s="23"/>
      <c r="C5" s="23"/>
      <c r="D5" s="23"/>
      <c r="E5" s="140"/>
      <c r="F5" s="133"/>
      <c r="G5" s="185"/>
      <c r="H5" s="185"/>
      <c r="I5" s="189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</row>
    <row r="6" spans="1:20" ht="52.8">
      <c r="B6" s="99" t="s">
        <v>85</v>
      </c>
      <c r="C6" s="99"/>
      <c r="D6" s="99" t="s">
        <v>56</v>
      </c>
      <c r="E6" s="99"/>
      <c r="F6" s="155" t="s">
        <v>103</v>
      </c>
      <c r="G6" s="155"/>
      <c r="H6" s="155"/>
      <c r="I6" s="155" t="s">
        <v>82</v>
      </c>
      <c r="J6" s="155" t="s">
        <v>83</v>
      </c>
      <c r="K6" s="155" t="s">
        <v>84</v>
      </c>
      <c r="L6" s="155"/>
      <c r="M6" s="155" t="s">
        <v>106</v>
      </c>
      <c r="N6" s="155" t="s">
        <v>23</v>
      </c>
    </row>
    <row r="7" spans="1:20" ht="21">
      <c r="A7" s="327">
        <v>101</v>
      </c>
      <c r="B7" s="322" t="s">
        <v>149</v>
      </c>
      <c r="D7" s="264">
        <v>14700</v>
      </c>
      <c r="E7" s="151"/>
      <c r="F7" s="192">
        <f t="shared" ref="F7:F15" si="0">-($C$20*D7)+$C$21</f>
        <v>11.581689616672868</v>
      </c>
      <c r="G7" s="43"/>
      <c r="I7" s="246">
        <v>8</v>
      </c>
      <c r="J7" s="246">
        <v>8</v>
      </c>
      <c r="K7" s="246">
        <v>10</v>
      </c>
      <c r="L7" s="43"/>
      <c r="M7" s="146">
        <f t="shared" ref="M7:M14" si="1">IF(SUM(F7:K7)&lt;2.5,2.5,SUM(F7:K7))</f>
        <v>37.581689616672868</v>
      </c>
      <c r="N7" s="144">
        <f>RANK(M7,$M$7:$M$15)</f>
        <v>3</v>
      </c>
    </row>
    <row r="8" spans="1:20" ht="23.4">
      <c r="A8" s="327">
        <v>102</v>
      </c>
      <c r="B8" s="323" t="s">
        <v>151</v>
      </c>
      <c r="D8" s="264">
        <v>12438</v>
      </c>
      <c r="E8" s="152"/>
      <c r="F8" s="192">
        <f t="shared" si="0"/>
        <v>20</v>
      </c>
      <c r="G8" s="43"/>
      <c r="I8" s="246">
        <v>4</v>
      </c>
      <c r="J8" s="246">
        <v>5</v>
      </c>
      <c r="K8" s="246">
        <v>4</v>
      </c>
      <c r="L8" s="43"/>
      <c r="M8" s="146">
        <f t="shared" si="1"/>
        <v>33</v>
      </c>
      <c r="N8" s="144">
        <f t="shared" ref="N8:N15" si="2">RANK(M8,$M$7:$M$15)</f>
        <v>5</v>
      </c>
    </row>
    <row r="9" spans="1:20" ht="23.4">
      <c r="A9" s="327">
        <v>103</v>
      </c>
      <c r="B9" s="323" t="s">
        <v>147</v>
      </c>
      <c r="D9" s="264">
        <v>13005</v>
      </c>
      <c r="E9" s="152"/>
      <c r="F9" s="192">
        <f t="shared" si="0"/>
        <v>17.889839970227015</v>
      </c>
      <c r="G9" s="43"/>
      <c r="I9" s="246">
        <v>8</v>
      </c>
      <c r="J9" s="246">
        <v>10</v>
      </c>
      <c r="K9" s="246">
        <v>8</v>
      </c>
      <c r="L9" s="43"/>
      <c r="M9" s="146">
        <f t="shared" si="1"/>
        <v>43.889839970227015</v>
      </c>
      <c r="N9" s="144">
        <f t="shared" si="2"/>
        <v>1</v>
      </c>
    </row>
    <row r="10" spans="1:20" ht="23.4">
      <c r="A10" s="327">
        <v>104</v>
      </c>
      <c r="B10" s="323" t="s">
        <v>148</v>
      </c>
      <c r="D10" s="264">
        <v>15494</v>
      </c>
      <c r="E10" s="152"/>
      <c r="F10" s="192">
        <f t="shared" si="0"/>
        <v>8.6267212504652022</v>
      </c>
      <c r="G10" s="43"/>
      <c r="I10" s="246">
        <v>2.5</v>
      </c>
      <c r="J10" s="246">
        <v>2.5</v>
      </c>
      <c r="K10" s="246">
        <v>2.5</v>
      </c>
      <c r="L10" s="43"/>
      <c r="M10" s="146">
        <f t="shared" si="1"/>
        <v>16.126721250465202</v>
      </c>
      <c r="N10" s="144">
        <f t="shared" si="2"/>
        <v>9</v>
      </c>
    </row>
    <row r="11" spans="1:20" ht="23.4">
      <c r="A11" s="327">
        <v>106</v>
      </c>
      <c r="B11" s="323" t="s">
        <v>152</v>
      </c>
      <c r="D11" s="264">
        <v>12909</v>
      </c>
      <c r="E11" s="152"/>
      <c r="F11" s="192">
        <f t="shared" si="0"/>
        <v>18.247115742463713</v>
      </c>
      <c r="G11" s="43"/>
      <c r="I11" s="246">
        <v>4</v>
      </c>
      <c r="J11" s="246">
        <v>7</v>
      </c>
      <c r="K11" s="246">
        <v>4</v>
      </c>
      <c r="L11" s="43"/>
      <c r="M11" s="146">
        <f t="shared" si="1"/>
        <v>33.247115742463713</v>
      </c>
      <c r="N11" s="144">
        <f t="shared" si="2"/>
        <v>4</v>
      </c>
    </row>
    <row r="12" spans="1:20" ht="46.8">
      <c r="A12" s="327">
        <v>107</v>
      </c>
      <c r="B12" s="323" t="s">
        <v>153</v>
      </c>
      <c r="D12" s="264">
        <v>14229</v>
      </c>
      <c r="E12" s="152"/>
      <c r="F12" s="192">
        <f t="shared" si="0"/>
        <v>13.334573874209156</v>
      </c>
      <c r="G12" s="43"/>
      <c r="I12" s="246">
        <v>10</v>
      </c>
      <c r="J12" s="246">
        <v>8</v>
      </c>
      <c r="K12" s="246">
        <v>7</v>
      </c>
      <c r="L12" s="43"/>
      <c r="M12" s="146">
        <f t="shared" si="1"/>
        <v>38.334573874209156</v>
      </c>
      <c r="N12" s="144">
        <f t="shared" si="2"/>
        <v>2</v>
      </c>
    </row>
    <row r="13" spans="1:20" ht="23.4">
      <c r="A13" s="327">
        <v>108</v>
      </c>
      <c r="B13" s="323" t="s">
        <v>150</v>
      </c>
      <c r="D13" s="264">
        <v>17812</v>
      </c>
      <c r="E13" s="152"/>
      <c r="F13" s="192">
        <f t="shared" si="0"/>
        <v>0</v>
      </c>
      <c r="G13" s="43"/>
      <c r="I13" s="246">
        <v>10</v>
      </c>
      <c r="J13" s="246">
        <v>8</v>
      </c>
      <c r="K13" s="246">
        <v>9</v>
      </c>
      <c r="L13" s="43"/>
      <c r="M13" s="146">
        <f t="shared" si="1"/>
        <v>27</v>
      </c>
      <c r="N13" s="144">
        <f t="shared" si="2"/>
        <v>8</v>
      </c>
    </row>
    <row r="14" spans="1:20" ht="23.4">
      <c r="A14" s="327">
        <v>111</v>
      </c>
      <c r="B14" s="323" t="s">
        <v>182</v>
      </c>
      <c r="D14" s="264">
        <v>14473</v>
      </c>
      <c r="E14" s="152"/>
      <c r="F14" s="192">
        <f t="shared" si="0"/>
        <v>12.42649795310755</v>
      </c>
      <c r="G14" s="43"/>
      <c r="I14" s="246">
        <v>6</v>
      </c>
      <c r="J14" s="246">
        <v>6</v>
      </c>
      <c r="K14" s="246">
        <v>5</v>
      </c>
      <c r="L14" s="43"/>
      <c r="M14" s="146">
        <f t="shared" si="1"/>
        <v>29.42649795310755</v>
      </c>
      <c r="N14" s="144">
        <f t="shared" si="2"/>
        <v>6</v>
      </c>
    </row>
    <row r="15" spans="1:20" ht="46.8">
      <c r="A15" s="327">
        <v>112</v>
      </c>
      <c r="B15" s="323" t="s">
        <v>183</v>
      </c>
      <c r="D15" s="154">
        <v>15394</v>
      </c>
      <c r="E15" s="153"/>
      <c r="F15" s="192">
        <f t="shared" si="0"/>
        <v>8.9988835132117586</v>
      </c>
      <c r="G15" s="43"/>
      <c r="I15" s="219">
        <v>10</v>
      </c>
      <c r="J15" s="219">
        <v>6</v>
      </c>
      <c r="K15" s="338">
        <v>2.5</v>
      </c>
      <c r="L15" s="43"/>
      <c r="M15" s="146">
        <f t="shared" ref="M15" si="3">IF(SUM(F15:K15)&lt;2.5,2.5,SUM(F15:K15))</f>
        <v>27.498883513211759</v>
      </c>
      <c r="N15" s="144">
        <f t="shared" si="2"/>
        <v>7</v>
      </c>
    </row>
    <row r="16" spans="1:20" ht="14.4">
      <c r="B16" s="169"/>
      <c r="C16" s="47"/>
      <c r="D16" s="186"/>
      <c r="E16" s="6"/>
      <c r="N16" s="190"/>
    </row>
    <row r="17" spans="2:13" ht="14.4">
      <c r="B17" s="193" t="s">
        <v>90</v>
      </c>
      <c r="C17" s="47"/>
      <c r="D17" s="147"/>
      <c r="E17" s="6"/>
      <c r="M17" s="185" t="s">
        <v>107</v>
      </c>
    </row>
    <row r="18" spans="2:13">
      <c r="B18" s="98" t="s">
        <v>91</v>
      </c>
      <c r="C18" s="35"/>
      <c r="D18" s="42"/>
      <c r="E18" s="6"/>
    </row>
    <row r="19" spans="2:13">
      <c r="B19" s="98" t="s">
        <v>92</v>
      </c>
      <c r="C19" s="35"/>
      <c r="D19" s="42"/>
      <c r="E19" s="6"/>
    </row>
    <row r="20" spans="2:13">
      <c r="B20" s="98" t="s">
        <v>93</v>
      </c>
      <c r="C20" s="175">
        <f>20/(C23-C22)</f>
        <v>3.7216226274655751E-3</v>
      </c>
      <c r="D20" s="42"/>
      <c r="E20" s="6"/>
    </row>
    <row r="21" spans="2:13">
      <c r="B21" s="98" t="s">
        <v>94</v>
      </c>
      <c r="C21" s="35">
        <f>20+(C20*C22)</f>
        <v>66.289542240416822</v>
      </c>
      <c r="D21" s="42"/>
      <c r="E21" s="6"/>
    </row>
    <row r="22" spans="2:13">
      <c r="B22" s="98" t="s">
        <v>60</v>
      </c>
      <c r="C22" s="173">
        <f>MIN(D7:D15)</f>
        <v>12438</v>
      </c>
      <c r="D22" s="42"/>
      <c r="E22" s="6"/>
    </row>
    <row r="23" spans="2:13">
      <c r="B23" s="39" t="s">
        <v>95</v>
      </c>
      <c r="C23" s="174">
        <f>MAX(D7:D15)</f>
        <v>17812</v>
      </c>
      <c r="D23" s="42"/>
      <c r="E23" s="6"/>
    </row>
    <row r="24" spans="2:13">
      <c r="B24" s="39" t="s">
        <v>96</v>
      </c>
      <c r="C24" s="172">
        <v>20</v>
      </c>
      <c r="D24" s="42"/>
      <c r="E24" s="6"/>
    </row>
    <row r="25" spans="2:13">
      <c r="B25" s="39"/>
      <c r="C25" s="35"/>
      <c r="D25" s="42"/>
      <c r="E25" s="6"/>
    </row>
    <row r="26" spans="2:13">
      <c r="B26" s="191" t="s">
        <v>105</v>
      </c>
      <c r="C26" s="35"/>
      <c r="D26" s="42"/>
      <c r="E26" s="6"/>
      <c r="I26" s="185" t="s">
        <v>104</v>
      </c>
    </row>
    <row r="27" spans="2:13">
      <c r="B27" s="40"/>
      <c r="C27" s="35"/>
      <c r="D27" s="42"/>
    </row>
    <row r="28" spans="2:13">
      <c r="B28" s="1"/>
      <c r="C28" s="23"/>
      <c r="D28" s="1"/>
    </row>
    <row r="29" spans="2:13">
      <c r="B29" s="1"/>
      <c r="C29" s="1"/>
      <c r="D29" s="1"/>
    </row>
  </sheetData>
  <phoneticPr fontId="20" type="noConversion"/>
  <printOptions gridLines="1"/>
  <pageMargins left="0.75" right="0.75" top="1" bottom="1" header="0.5" footer="0.5"/>
  <pageSetup scale="67" orientation="landscape" horizontalDpi="4294967294" verticalDpi="20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Q18"/>
  <sheetViews>
    <sheetView topLeftCell="A2" zoomScale="90" zoomScaleNormal="90" workbookViewId="0">
      <selection activeCell="C9" sqref="C9"/>
    </sheetView>
  </sheetViews>
  <sheetFormatPr defaultColWidth="8.88671875" defaultRowHeight="13.2"/>
  <cols>
    <col min="2" max="2" width="39.6640625" customWidth="1"/>
    <col min="3" max="3" width="15.33203125" customWidth="1"/>
    <col min="4" max="4" width="13.88671875" style="211" bestFit="1" customWidth="1"/>
    <col min="5" max="5" width="10.109375" customWidth="1"/>
    <col min="6" max="6" width="12.44140625" customWidth="1"/>
    <col min="8" max="8" width="10.88671875" style="36" customWidth="1"/>
    <col min="9" max="9" width="8.88671875" style="3"/>
    <col min="10" max="10" width="41.88671875" customWidth="1"/>
  </cols>
  <sheetData>
    <row r="1" spans="1:17" ht="45">
      <c r="B1" s="7" t="s">
        <v>194</v>
      </c>
      <c r="F1" s="124"/>
      <c r="G1" s="124"/>
    </row>
    <row r="2" spans="1:17" ht="17.399999999999999">
      <c r="B2" s="7"/>
      <c r="C2" s="7"/>
      <c r="D2" s="223"/>
      <c r="E2" s="6" t="s">
        <v>0</v>
      </c>
      <c r="F2" s="95">
        <f>MAX(D10:D17)</f>
        <v>2.0484092513181023</v>
      </c>
      <c r="G2" s="6" t="s">
        <v>10</v>
      </c>
      <c r="H2" s="221" t="s">
        <v>24</v>
      </c>
      <c r="J2" s="51"/>
    </row>
    <row r="3" spans="1:17">
      <c r="B3" s="6"/>
      <c r="C3" s="6"/>
      <c r="D3" s="55"/>
      <c r="E3" s="6" t="s">
        <v>1</v>
      </c>
      <c r="F3" s="95">
        <f>MIN(D10:D17)</f>
        <v>1.3468992337434098</v>
      </c>
      <c r="G3" s="6" t="s">
        <v>10</v>
      </c>
      <c r="H3" s="221" t="s">
        <v>25</v>
      </c>
      <c r="J3" s="51"/>
    </row>
    <row r="4" spans="1:17">
      <c r="B4" s="10"/>
      <c r="C4" s="10"/>
      <c r="D4" s="224"/>
      <c r="E4" s="6" t="s">
        <v>12</v>
      </c>
      <c r="F4" s="143">
        <v>47.5</v>
      </c>
      <c r="G4" s="6" t="s">
        <v>11</v>
      </c>
      <c r="H4" s="221" t="s">
        <v>26</v>
      </c>
      <c r="J4" s="51"/>
    </row>
    <row r="5" spans="1:17">
      <c r="B5" s="10"/>
      <c r="C5" s="10"/>
      <c r="D5" s="224"/>
      <c r="E5" s="6" t="s">
        <v>97</v>
      </c>
      <c r="F5" s="267"/>
      <c r="G5" s="6"/>
      <c r="H5" s="221"/>
      <c r="J5" s="51"/>
    </row>
    <row r="6" spans="1:17">
      <c r="B6" s="10"/>
      <c r="C6" s="10"/>
      <c r="D6" s="224"/>
      <c r="E6" s="6" t="s">
        <v>98</v>
      </c>
      <c r="F6" s="276">
        <f>100/(F2-F3)</f>
        <v>142.54963934189666</v>
      </c>
      <c r="G6" s="6"/>
      <c r="H6" s="221"/>
      <c r="J6" s="51"/>
    </row>
    <row r="7" spans="1:17">
      <c r="B7" s="10"/>
      <c r="C7" s="10"/>
      <c r="D7" s="224"/>
      <c r="E7" s="6" t="s">
        <v>99</v>
      </c>
      <c r="F7" s="276">
        <f>(F6*F2)</f>
        <v>292.00000000000006</v>
      </c>
      <c r="G7" s="6"/>
      <c r="H7" s="221"/>
      <c r="J7" s="51"/>
    </row>
    <row r="8" spans="1:17">
      <c r="B8" s="12"/>
      <c r="C8" s="12"/>
      <c r="D8" s="95"/>
      <c r="E8" s="12"/>
      <c r="F8" s="132"/>
      <c r="G8" s="6"/>
      <c r="I8" s="17"/>
      <c r="J8" s="52"/>
      <c r="K8" s="52"/>
    </row>
    <row r="9" spans="1:17" ht="39.6">
      <c r="B9" s="11"/>
      <c r="C9" s="34" t="s">
        <v>223</v>
      </c>
      <c r="D9" s="225" t="s">
        <v>40</v>
      </c>
      <c r="E9" s="34" t="s">
        <v>9</v>
      </c>
      <c r="F9" s="31" t="s">
        <v>102</v>
      </c>
      <c r="G9" s="31" t="s">
        <v>23</v>
      </c>
      <c r="H9" s="106" t="s">
        <v>55</v>
      </c>
      <c r="I9" s="2" t="s">
        <v>109</v>
      </c>
      <c r="J9" s="34"/>
      <c r="K9" s="31"/>
      <c r="M9" s="105" t="s">
        <v>37</v>
      </c>
    </row>
    <row r="10" spans="1:17" ht="21">
      <c r="A10" s="327">
        <v>101</v>
      </c>
      <c r="B10" s="322" t="s">
        <v>149</v>
      </c>
      <c r="C10" s="188" t="s">
        <v>144</v>
      </c>
      <c r="D10" s="369">
        <v>1.5012314376098412</v>
      </c>
      <c r="E10" s="370">
        <f>$F$4/D10</f>
        <v>31.640690975421002</v>
      </c>
      <c r="F10" s="308">
        <f>100-($F$6*D10)+$F$7</f>
        <v>178.00000000000014</v>
      </c>
      <c r="G10" s="219">
        <f>RANK($F10,$F$10:$F$18)</f>
        <v>3</v>
      </c>
      <c r="H10" s="371">
        <f>F4</f>
        <v>47.5</v>
      </c>
      <c r="I10" s="247"/>
      <c r="J10" s="222"/>
      <c r="K10" s="6"/>
      <c r="M10" s="43" t="s">
        <v>37</v>
      </c>
      <c r="N10" s="53"/>
      <c r="O10" s="53"/>
      <c r="P10" s="53"/>
      <c r="Q10" s="53"/>
    </row>
    <row r="11" spans="1:17" ht="23.4">
      <c r="A11" s="327">
        <v>102</v>
      </c>
      <c r="B11" s="323" t="s">
        <v>151</v>
      </c>
      <c r="C11" s="188" t="s">
        <v>144</v>
      </c>
      <c r="D11" s="369"/>
      <c r="E11" s="370"/>
      <c r="F11" s="308"/>
      <c r="G11" s="219"/>
      <c r="H11" s="371"/>
      <c r="I11" s="247"/>
      <c r="J11" s="222"/>
      <c r="K11" s="6"/>
      <c r="M11" s="43"/>
      <c r="N11" s="53"/>
      <c r="O11" s="53"/>
      <c r="P11" s="53"/>
      <c r="Q11" s="53"/>
    </row>
    <row r="12" spans="1:17" ht="46.8">
      <c r="A12" s="327">
        <v>103</v>
      </c>
      <c r="B12" s="323" t="s">
        <v>147</v>
      </c>
      <c r="C12" s="188" t="s">
        <v>144</v>
      </c>
      <c r="D12" s="194">
        <v>1.4591408365553606</v>
      </c>
      <c r="E12" s="370">
        <f t="shared" ref="E12:E17" si="0">$F$4/D12</f>
        <v>32.553403215096587</v>
      </c>
      <c r="F12" s="308">
        <f t="shared" ref="F12:F17" si="1">100-($F$6*D12)+$F$7</f>
        <v>184</v>
      </c>
      <c r="G12" s="219">
        <f t="shared" ref="G12:G17" si="2">RANK($F12,$F$10:$F$18)</f>
        <v>2</v>
      </c>
      <c r="H12" s="371">
        <v>47.5</v>
      </c>
      <c r="I12" s="290"/>
    </row>
    <row r="13" spans="1:17" ht="23.4">
      <c r="A13" s="327">
        <v>104</v>
      </c>
      <c r="B13" s="323" t="s">
        <v>148</v>
      </c>
      <c r="C13" s="188" t="s">
        <v>144</v>
      </c>
      <c r="D13" s="372">
        <v>1.3468992337434098</v>
      </c>
      <c r="E13" s="370">
        <f t="shared" si="0"/>
        <v>35.266186816354633</v>
      </c>
      <c r="F13" s="308">
        <f t="shared" si="1"/>
        <v>200.00000000000003</v>
      </c>
      <c r="G13" s="219">
        <f t="shared" si="2"/>
        <v>1</v>
      </c>
      <c r="H13" s="371">
        <v>47.5</v>
      </c>
    </row>
    <row r="14" spans="1:17" ht="23.4">
      <c r="A14" s="327">
        <v>106</v>
      </c>
      <c r="B14" s="323" t="s">
        <v>152</v>
      </c>
      <c r="C14" s="188" t="s">
        <v>144</v>
      </c>
      <c r="D14" s="372"/>
      <c r="E14" s="370"/>
      <c r="F14" s="308"/>
      <c r="G14" s="219"/>
      <c r="H14" s="371"/>
    </row>
    <row r="15" spans="1:17" ht="46.8">
      <c r="A15" s="327">
        <v>107</v>
      </c>
      <c r="B15" s="323" t="s">
        <v>153</v>
      </c>
      <c r="C15" s="188" t="s">
        <v>144</v>
      </c>
      <c r="D15" s="372"/>
      <c r="E15" s="370"/>
      <c r="F15" s="308"/>
      <c r="G15" s="219"/>
      <c r="H15" s="371"/>
    </row>
    <row r="16" spans="1:17" ht="23.4">
      <c r="A16" s="327">
        <v>108</v>
      </c>
      <c r="B16" s="323" t="s">
        <v>150</v>
      </c>
      <c r="C16" s="188" t="s">
        <v>144</v>
      </c>
      <c r="D16" s="372"/>
      <c r="E16" s="370"/>
      <c r="F16" s="308"/>
      <c r="G16" s="219"/>
      <c r="H16" s="209"/>
    </row>
    <row r="17" spans="1:8" ht="23.4">
      <c r="A17" s="327">
        <v>111</v>
      </c>
      <c r="B17" s="323" t="s">
        <v>182</v>
      </c>
      <c r="C17" s="188" t="s">
        <v>144</v>
      </c>
      <c r="D17" s="372">
        <v>2.0484092513181023</v>
      </c>
      <c r="E17" s="370">
        <f t="shared" si="0"/>
        <v>23.188725577877022</v>
      </c>
      <c r="F17" s="308">
        <f t="shared" si="1"/>
        <v>100</v>
      </c>
      <c r="G17" s="219">
        <f t="shared" si="2"/>
        <v>4</v>
      </c>
      <c r="H17" s="209">
        <v>47.5</v>
      </c>
    </row>
    <row r="18" spans="1:8" ht="46.8">
      <c r="A18" s="327">
        <v>112</v>
      </c>
      <c r="B18" s="323" t="s">
        <v>183</v>
      </c>
      <c r="C18" s="188" t="s">
        <v>144</v>
      </c>
      <c r="D18" s="372"/>
      <c r="E18" s="370"/>
      <c r="F18" s="308"/>
      <c r="G18" s="219"/>
      <c r="H18" s="209"/>
    </row>
  </sheetData>
  <phoneticPr fontId="20" type="noConversion"/>
  <printOptions gridLines="1"/>
  <pageMargins left="0.75" right="0.75" top="1" bottom="1" header="0.5" footer="0.5"/>
  <pageSetup scale="63" orientation="landscape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Q46"/>
  <sheetViews>
    <sheetView workbookViewId="0">
      <selection activeCell="B1" sqref="B1"/>
    </sheetView>
  </sheetViews>
  <sheetFormatPr defaultColWidth="8.88671875" defaultRowHeight="13.2"/>
  <cols>
    <col min="2" max="2" width="54" customWidth="1"/>
    <col min="3" max="3" width="11" customWidth="1"/>
    <col min="4" max="4" width="21.44140625" style="53" customWidth="1"/>
    <col min="5" max="5" width="20" customWidth="1"/>
    <col min="6" max="6" width="16.88671875" customWidth="1"/>
    <col min="7" max="7" width="16.88671875" style="133" customWidth="1"/>
    <col min="8" max="8" width="16.88671875" customWidth="1"/>
    <col min="9" max="9" width="11.44140625" customWidth="1"/>
    <col min="10" max="10" width="12.33203125" customWidth="1"/>
    <col min="11" max="11" width="10.44140625" customWidth="1"/>
    <col min="12" max="12" width="13.6640625" customWidth="1"/>
    <col min="13" max="13" width="13.33203125" customWidth="1"/>
    <col min="14" max="14" width="12.33203125" customWidth="1"/>
    <col min="15" max="15" width="14.33203125" customWidth="1"/>
    <col min="16" max="16" width="12.6640625" customWidth="1"/>
    <col min="17" max="17" width="12.44140625" customWidth="1"/>
    <col min="18" max="18" width="11" customWidth="1"/>
  </cols>
  <sheetData>
    <row r="1" spans="1:17" ht="17.399999999999999">
      <c r="B1" s="7" t="s">
        <v>193</v>
      </c>
      <c r="C1" s="104"/>
      <c r="D1" s="140"/>
      <c r="E1" s="6"/>
      <c r="F1" s="18"/>
      <c r="G1" s="230" t="s">
        <v>100</v>
      </c>
      <c r="H1" s="142"/>
      <c r="I1" s="9"/>
      <c r="J1" s="6"/>
      <c r="K1" s="6"/>
      <c r="L1" s="6"/>
      <c r="M1" s="6"/>
      <c r="N1" s="6"/>
      <c r="O1" s="6"/>
      <c r="P1" s="6"/>
      <c r="Q1" s="6"/>
    </row>
    <row r="2" spans="1:17" s="53" customFormat="1">
      <c r="B2" s="140"/>
      <c r="C2" s="111"/>
      <c r="D2" s="16"/>
      <c r="E2" s="9"/>
      <c r="F2" s="18"/>
      <c r="G2" s="230" t="s">
        <v>87</v>
      </c>
      <c r="H2" s="142"/>
      <c r="I2" s="244"/>
      <c r="J2" s="33"/>
      <c r="K2" s="33"/>
      <c r="L2" s="33"/>
      <c r="M2" s="33"/>
      <c r="N2" s="33"/>
      <c r="O2" s="33"/>
      <c r="P2" s="33"/>
      <c r="Q2" s="33"/>
    </row>
    <row r="3" spans="1:17">
      <c r="B3" s="10" t="s">
        <v>132</v>
      </c>
      <c r="C3" s="227"/>
      <c r="D3" s="227" t="s">
        <v>118</v>
      </c>
      <c r="E3" s="45"/>
      <c r="F3" s="2" t="s">
        <v>29</v>
      </c>
      <c r="G3" s="2" t="s">
        <v>58</v>
      </c>
      <c r="H3" s="2" t="s">
        <v>59</v>
      </c>
      <c r="I3" s="12"/>
      <c r="J3" s="6"/>
      <c r="K3" s="6"/>
      <c r="L3" s="6"/>
      <c r="M3" s="6"/>
      <c r="N3" s="6"/>
      <c r="O3" s="6"/>
      <c r="P3" s="6"/>
      <c r="Q3" s="6"/>
    </row>
    <row r="4" spans="1:17">
      <c r="B4" s="6"/>
      <c r="C4" s="228" t="s">
        <v>133</v>
      </c>
      <c r="D4" s="2" t="s">
        <v>41</v>
      </c>
      <c r="E4" s="22"/>
      <c r="F4" s="268" t="s">
        <v>61</v>
      </c>
      <c r="G4" s="2" t="s">
        <v>8</v>
      </c>
      <c r="H4" s="288" t="s">
        <v>41</v>
      </c>
      <c r="I4" s="22" t="s">
        <v>23</v>
      </c>
      <c r="J4" s="22"/>
      <c r="K4" s="19"/>
      <c r="L4" s="19"/>
      <c r="M4" s="5"/>
      <c r="N4" s="5"/>
      <c r="O4" s="5"/>
      <c r="P4" s="5"/>
      <c r="Q4" s="2"/>
    </row>
    <row r="5" spans="1:17" s="277" customFormat="1" ht="21">
      <c r="A5" s="327">
        <v>101</v>
      </c>
      <c r="B5" s="322" t="s">
        <v>149</v>
      </c>
      <c r="C5" s="278">
        <v>75</v>
      </c>
      <c r="D5" s="279">
        <f>10^(($C$15-C5)/10)*150</f>
        <v>150</v>
      </c>
      <c r="E5" s="280"/>
      <c r="F5" s="283">
        <v>6</v>
      </c>
      <c r="G5" s="286">
        <f>-($F$16*F5)+$F$17</f>
        <v>25</v>
      </c>
      <c r="H5" s="285">
        <f>+D5+G5</f>
        <v>175</v>
      </c>
      <c r="I5" s="281">
        <f>RANK(H5, $H$5:$H$13)</f>
        <v>5</v>
      </c>
      <c r="J5" s="281"/>
      <c r="K5" s="293"/>
      <c r="L5" s="280"/>
      <c r="M5" s="293"/>
      <c r="N5" s="293"/>
      <c r="O5" s="294"/>
    </row>
    <row r="6" spans="1:17" s="277" customFormat="1" ht="23.4">
      <c r="A6" s="327">
        <v>102</v>
      </c>
      <c r="B6" s="323" t="s">
        <v>151</v>
      </c>
      <c r="C6" s="278">
        <v>76</v>
      </c>
      <c r="D6" s="279">
        <f t="shared" ref="D6:D12" si="0">10^(($C$15-C6)/10)*150</f>
        <v>119.14923520864222</v>
      </c>
      <c r="E6" s="280"/>
      <c r="F6" s="283">
        <v>4</v>
      </c>
      <c r="G6" s="286">
        <f t="shared" ref="G6:G12" si="1">-($F$16*F6)+$F$17</f>
        <v>75</v>
      </c>
      <c r="H6" s="285">
        <f t="shared" ref="H6:H12" si="2">+D6+G6</f>
        <v>194.14923520864221</v>
      </c>
      <c r="I6" s="281">
        <f t="shared" ref="I6:I13" si="3">RANK(H6, $H$5:$H$13)</f>
        <v>3</v>
      </c>
      <c r="J6" s="281"/>
      <c r="K6" s="293"/>
      <c r="L6" s="280"/>
      <c r="M6" s="293"/>
      <c r="N6" s="293"/>
      <c r="O6" s="294"/>
    </row>
    <row r="7" spans="1:17" s="277" customFormat="1" ht="23.4">
      <c r="A7" s="327">
        <v>103</v>
      </c>
      <c r="B7" s="323" t="s">
        <v>147</v>
      </c>
      <c r="C7" s="278">
        <v>83</v>
      </c>
      <c r="D7" s="279">
        <f t="shared" si="0"/>
        <v>23.773397886916698</v>
      </c>
      <c r="E7" s="280"/>
      <c r="F7" s="283">
        <v>5</v>
      </c>
      <c r="G7" s="286">
        <f t="shared" si="1"/>
        <v>50</v>
      </c>
      <c r="H7" s="285">
        <f t="shared" si="2"/>
        <v>73.773397886916698</v>
      </c>
      <c r="I7" s="281">
        <f t="shared" si="3"/>
        <v>6</v>
      </c>
      <c r="J7" s="282"/>
      <c r="K7" s="295"/>
      <c r="L7" s="296"/>
      <c r="M7" s="282"/>
    </row>
    <row r="8" spans="1:17" s="277" customFormat="1" ht="23.4">
      <c r="A8" s="327">
        <v>104</v>
      </c>
      <c r="B8" s="323" t="s">
        <v>148</v>
      </c>
      <c r="C8" s="278" t="s">
        <v>202</v>
      </c>
      <c r="D8" s="279">
        <v>0</v>
      </c>
      <c r="E8" s="280"/>
      <c r="F8" s="283"/>
      <c r="G8" s="286" t="s">
        <v>37</v>
      </c>
      <c r="H8" s="285">
        <v>0</v>
      </c>
      <c r="I8" s="281">
        <f t="shared" si="3"/>
        <v>8</v>
      </c>
      <c r="J8" s="282"/>
      <c r="K8" s="282"/>
      <c r="L8" s="282"/>
      <c r="M8" s="282"/>
    </row>
    <row r="9" spans="1:17" s="277" customFormat="1" ht="23.4">
      <c r="A9" s="327">
        <v>106</v>
      </c>
      <c r="B9" s="323" t="s">
        <v>152</v>
      </c>
      <c r="C9" s="278">
        <v>79</v>
      </c>
      <c r="D9" s="279">
        <f t="shared" si="0"/>
        <v>59.716075583024583</v>
      </c>
      <c r="E9" s="280"/>
      <c r="F9" s="283">
        <v>7</v>
      </c>
      <c r="G9" s="286">
        <f t="shared" si="1"/>
        <v>0</v>
      </c>
      <c r="H9" s="285">
        <f t="shared" si="2"/>
        <v>59.716075583024583</v>
      </c>
      <c r="I9" s="281">
        <f t="shared" si="3"/>
        <v>7</v>
      </c>
      <c r="J9" s="282"/>
      <c r="K9" s="282"/>
      <c r="L9" s="282"/>
      <c r="M9" s="282"/>
    </row>
    <row r="10" spans="1:17" ht="23.4">
      <c r="A10" s="327">
        <v>107</v>
      </c>
      <c r="B10" s="323" t="s">
        <v>153</v>
      </c>
      <c r="C10" s="229">
        <v>78</v>
      </c>
      <c r="D10" s="279">
        <f t="shared" si="0"/>
        <v>75.178085044090835</v>
      </c>
      <c r="E10" s="47"/>
      <c r="F10" s="284">
        <v>2</v>
      </c>
      <c r="G10" s="287">
        <f t="shared" si="1"/>
        <v>125</v>
      </c>
      <c r="H10" s="285">
        <f t="shared" si="2"/>
        <v>200.17808504409084</v>
      </c>
      <c r="I10" s="281">
        <f t="shared" si="3"/>
        <v>1</v>
      </c>
      <c r="J10" s="4"/>
      <c r="K10" s="1"/>
      <c r="L10" s="1"/>
      <c r="M10" s="1"/>
    </row>
    <row r="11" spans="1:17" ht="23.4">
      <c r="A11" s="327">
        <v>108</v>
      </c>
      <c r="B11" s="323" t="s">
        <v>150</v>
      </c>
      <c r="C11" s="229">
        <v>81</v>
      </c>
      <c r="D11" s="279">
        <f t="shared" si="0"/>
        <v>37.678296472643702</v>
      </c>
      <c r="E11" s="47"/>
      <c r="F11" s="284">
        <v>1</v>
      </c>
      <c r="G11" s="287">
        <f t="shared" si="1"/>
        <v>150</v>
      </c>
      <c r="H11" s="285">
        <f t="shared" si="2"/>
        <v>187.67829647264369</v>
      </c>
      <c r="I11" s="281">
        <f t="shared" si="3"/>
        <v>4</v>
      </c>
      <c r="J11" s="4"/>
      <c r="K11" s="1"/>
      <c r="L11" s="1"/>
      <c r="M11" s="1"/>
    </row>
    <row r="12" spans="1:17" ht="23.4">
      <c r="A12" s="327">
        <v>111</v>
      </c>
      <c r="B12" s="323" t="s">
        <v>182</v>
      </c>
      <c r="C12" s="229">
        <v>77</v>
      </c>
      <c r="D12" s="279">
        <f t="shared" si="0"/>
        <v>94.643601672028993</v>
      </c>
      <c r="E12" s="47"/>
      <c r="F12" s="284">
        <v>3</v>
      </c>
      <c r="G12" s="287">
        <f t="shared" si="1"/>
        <v>100</v>
      </c>
      <c r="H12" s="285">
        <f t="shared" si="2"/>
        <v>194.64360167202898</v>
      </c>
      <c r="I12" s="281">
        <f t="shared" si="3"/>
        <v>2</v>
      </c>
      <c r="J12" s="4"/>
      <c r="K12" s="1"/>
      <c r="L12" s="1"/>
      <c r="M12" s="1"/>
    </row>
    <row r="13" spans="1:17" ht="47.4" thickBot="1">
      <c r="A13" s="327">
        <v>112</v>
      </c>
      <c r="B13" s="323" t="s">
        <v>183</v>
      </c>
      <c r="C13" s="337" t="s">
        <v>202</v>
      </c>
      <c r="D13" s="279">
        <v>0</v>
      </c>
      <c r="E13" s="47"/>
      <c r="F13" s="284"/>
      <c r="G13" s="287" t="s">
        <v>37</v>
      </c>
      <c r="H13" s="285">
        <v>0</v>
      </c>
      <c r="I13" s="281">
        <f t="shared" si="3"/>
        <v>8</v>
      </c>
      <c r="J13" s="4"/>
      <c r="K13" s="1"/>
      <c r="L13" s="1"/>
      <c r="M13" s="1"/>
    </row>
    <row r="14" spans="1:17">
      <c r="C14" s="56"/>
      <c r="D14" s="56" t="s">
        <v>37</v>
      </c>
      <c r="E14" s="56" t="s">
        <v>111</v>
      </c>
      <c r="F14" s="115">
        <v>1</v>
      </c>
      <c r="G14" s="179"/>
      <c r="H14" s="44" t="s">
        <v>37</v>
      </c>
      <c r="I14" s="44" t="s">
        <v>37</v>
      </c>
      <c r="J14" s="4"/>
      <c r="K14" s="1"/>
      <c r="L14" s="1"/>
      <c r="M14" s="1"/>
    </row>
    <row r="15" spans="1:17">
      <c r="B15" s="113" t="s">
        <v>117</v>
      </c>
      <c r="C15" s="58">
        <v>75</v>
      </c>
      <c r="D15" s="59"/>
      <c r="E15" s="59" t="s">
        <v>113</v>
      </c>
      <c r="F15" s="115">
        <f>MAX(F5:F13)</f>
        <v>7</v>
      </c>
      <c r="G15" s="176"/>
      <c r="H15" s="59"/>
      <c r="I15" s="60"/>
      <c r="J15" s="4"/>
      <c r="K15" s="1"/>
      <c r="L15" s="1"/>
      <c r="M15" s="1"/>
    </row>
    <row r="16" spans="1:17">
      <c r="B16" s="113" t="s">
        <v>119</v>
      </c>
      <c r="C16" s="210" t="s">
        <v>203</v>
      </c>
      <c r="D16" s="59"/>
      <c r="E16" s="59" t="s">
        <v>110</v>
      </c>
      <c r="F16" s="59">
        <f>150/(F15-F14)</f>
        <v>25</v>
      </c>
      <c r="G16" s="176"/>
      <c r="H16" s="59"/>
      <c r="I16" s="60"/>
      <c r="J16" s="4"/>
      <c r="K16" s="1"/>
      <c r="L16" s="1"/>
      <c r="M16" s="1"/>
    </row>
    <row r="17" spans="2:13">
      <c r="B17" s="168"/>
      <c r="C17" s="58"/>
      <c r="D17" s="59"/>
      <c r="E17" s="59" t="s">
        <v>112</v>
      </c>
      <c r="F17" s="59">
        <f>F16*F15</f>
        <v>175</v>
      </c>
      <c r="G17" s="176"/>
      <c r="H17" s="59"/>
      <c r="I17" s="60"/>
      <c r="J17" s="4"/>
      <c r="K17" s="1"/>
      <c r="L17" s="1"/>
      <c r="M17" s="1"/>
    </row>
    <row r="18" spans="2:13">
      <c r="B18" s="202"/>
      <c r="C18" s="58"/>
      <c r="D18" s="59"/>
      <c r="E18" s="59"/>
      <c r="F18" s="59"/>
      <c r="G18" s="176"/>
      <c r="H18" s="59"/>
      <c r="I18" s="60"/>
      <c r="J18" s="4"/>
      <c r="K18" s="1"/>
      <c r="L18" s="1"/>
      <c r="M18" s="1"/>
    </row>
    <row r="19" spans="2:13">
      <c r="B19" s="181"/>
      <c r="C19" s="58"/>
      <c r="D19" s="59"/>
      <c r="E19" s="59"/>
      <c r="F19" s="59"/>
      <c r="G19" s="176"/>
      <c r="H19" s="59"/>
      <c r="I19" s="60"/>
      <c r="J19" s="4"/>
      <c r="K19" s="1"/>
      <c r="L19" s="1"/>
      <c r="M19" s="1"/>
    </row>
    <row r="20" spans="2:13">
      <c r="B20" s="181"/>
      <c r="C20" s="58"/>
      <c r="D20" s="59"/>
      <c r="E20" s="59"/>
      <c r="G20" s="176"/>
      <c r="H20" s="59"/>
      <c r="I20" s="60"/>
      <c r="J20" s="4"/>
      <c r="K20" s="1"/>
      <c r="L20" s="1"/>
      <c r="M20" s="1"/>
    </row>
    <row r="21" spans="2:13">
      <c r="B21" s="181"/>
      <c r="C21" s="203" t="s">
        <v>120</v>
      </c>
      <c r="D21" s="59"/>
      <c r="E21" s="59"/>
      <c r="G21" s="176"/>
      <c r="H21" s="59"/>
      <c r="I21" s="60"/>
      <c r="J21" s="4"/>
      <c r="K21" s="1"/>
      <c r="L21" s="1"/>
      <c r="M21" s="1"/>
    </row>
    <row r="22" spans="2:13">
      <c r="B22" s="57"/>
      <c r="C22" s="201" t="s">
        <v>85</v>
      </c>
      <c r="D22" s="195" t="s">
        <v>41</v>
      </c>
      <c r="E22" s="59"/>
      <c r="F22" s="59"/>
      <c r="G22" s="176"/>
      <c r="H22" s="59"/>
      <c r="I22" s="60"/>
      <c r="J22" s="4"/>
      <c r="K22" s="1"/>
      <c r="L22" s="1"/>
      <c r="M22" s="1"/>
    </row>
    <row r="23" spans="2:13">
      <c r="B23" s="196" t="s">
        <v>114</v>
      </c>
      <c r="C23" s="194">
        <v>75</v>
      </c>
      <c r="D23" s="136">
        <f>10^(($C$23-C23)/10)*150</f>
        <v>150</v>
      </c>
      <c r="E23" s="205" t="s">
        <v>121</v>
      </c>
      <c r="F23" s="59"/>
      <c r="G23" s="176"/>
      <c r="H23" s="59"/>
      <c r="I23" s="60"/>
      <c r="J23" s="4"/>
      <c r="K23" s="1"/>
      <c r="L23" s="1"/>
      <c r="M23" s="1"/>
    </row>
    <row r="24" spans="2:13">
      <c r="B24" s="57"/>
      <c r="C24" s="194">
        <f>C23+0.5</f>
        <v>75.5</v>
      </c>
      <c r="D24" s="136">
        <f t="shared" ref="D24:D39" si="4">10^(($C$23-C24)/10)*150</f>
        <v>133.68764072006181</v>
      </c>
      <c r="E24" s="59"/>
      <c r="F24" s="59"/>
      <c r="G24" s="176"/>
      <c r="H24" s="59"/>
      <c r="I24" s="60"/>
      <c r="J24" s="4"/>
      <c r="K24" s="1"/>
      <c r="L24" s="1"/>
      <c r="M24" s="1"/>
    </row>
    <row r="25" spans="2:13">
      <c r="B25" s="57"/>
      <c r="C25" s="194">
        <f t="shared" ref="C25:C39" si="5">C24+0.5</f>
        <v>76</v>
      </c>
      <c r="D25" s="136">
        <f t="shared" si="4"/>
        <v>119.14923520864222</v>
      </c>
      <c r="E25" s="59"/>
      <c r="F25" s="59"/>
      <c r="G25" s="176"/>
      <c r="H25" s="59"/>
      <c r="I25" s="60"/>
      <c r="J25" s="4"/>
      <c r="K25" s="1"/>
      <c r="L25" s="1"/>
      <c r="M25" s="1"/>
    </row>
    <row r="26" spans="2:13">
      <c r="B26" s="57"/>
      <c r="C26" s="194">
        <f t="shared" si="5"/>
        <v>76.5</v>
      </c>
      <c r="D26" s="136">
        <f t="shared" si="4"/>
        <v>106.19186765762069</v>
      </c>
      <c r="E26" s="59"/>
      <c r="F26" s="59"/>
      <c r="G26" s="176"/>
      <c r="H26" s="59"/>
      <c r="I26" s="60"/>
      <c r="J26" s="4"/>
      <c r="K26" s="1"/>
      <c r="L26" s="1"/>
      <c r="M26" s="1"/>
    </row>
    <row r="27" spans="2:13">
      <c r="B27" s="57"/>
      <c r="C27" s="194">
        <f t="shared" si="5"/>
        <v>77</v>
      </c>
      <c r="D27" s="136">
        <f t="shared" si="4"/>
        <v>94.643601672028993</v>
      </c>
      <c r="E27" s="59"/>
      <c r="F27" s="59"/>
      <c r="G27" s="176"/>
      <c r="H27" s="59"/>
      <c r="I27" s="60"/>
      <c r="J27" s="4"/>
      <c r="K27" s="1"/>
      <c r="L27" s="1"/>
      <c r="M27" s="1"/>
    </row>
    <row r="28" spans="2:13">
      <c r="B28" s="57"/>
      <c r="C28" s="194">
        <f t="shared" si="5"/>
        <v>77.5</v>
      </c>
      <c r="D28" s="136">
        <f t="shared" si="4"/>
        <v>84.351198778552359</v>
      </c>
      <c r="E28" s="59"/>
      <c r="F28" s="59"/>
      <c r="G28" s="176"/>
      <c r="H28" s="59"/>
      <c r="I28" s="60"/>
      <c r="J28" s="4"/>
      <c r="K28" s="1"/>
      <c r="L28" s="1"/>
      <c r="M28" s="1"/>
    </row>
    <row r="29" spans="2:13">
      <c r="B29" s="57"/>
      <c r="C29" s="194">
        <f t="shared" si="5"/>
        <v>78</v>
      </c>
      <c r="D29" s="136">
        <f t="shared" si="4"/>
        <v>75.178085044090835</v>
      </c>
      <c r="E29" s="112"/>
      <c r="F29" s="59"/>
      <c r="G29" s="180"/>
      <c r="H29" s="113"/>
      <c r="I29" s="60"/>
      <c r="J29" s="4"/>
    </row>
    <row r="30" spans="2:13">
      <c r="B30" s="57"/>
      <c r="C30" s="194">
        <f t="shared" si="5"/>
        <v>78.5</v>
      </c>
      <c r="D30" s="136">
        <f t="shared" si="4"/>
        <v>67.002538822644468</v>
      </c>
      <c r="E30" s="59"/>
      <c r="F30" s="59"/>
      <c r="G30" s="176"/>
      <c r="H30" s="59"/>
      <c r="I30" s="60"/>
      <c r="J30" s="4"/>
    </row>
    <row r="31" spans="2:13">
      <c r="B31" s="1"/>
      <c r="C31" s="194">
        <f t="shared" si="5"/>
        <v>79</v>
      </c>
      <c r="D31" s="136">
        <f t="shared" si="4"/>
        <v>59.716075583024583</v>
      </c>
      <c r="E31" s="1"/>
      <c r="F31" s="1"/>
      <c r="G31" s="177"/>
      <c r="H31" s="1"/>
      <c r="I31" s="1"/>
      <c r="J31" s="4"/>
    </row>
    <row r="32" spans="2:13">
      <c r="B32" s="1"/>
      <c r="C32" s="194">
        <f t="shared" si="5"/>
        <v>79.5</v>
      </c>
      <c r="D32" s="136">
        <f t="shared" si="4"/>
        <v>53.222008385036311</v>
      </c>
      <c r="E32" s="4"/>
      <c r="F32" s="4"/>
      <c r="G32" s="178"/>
      <c r="H32" s="4"/>
      <c r="I32" s="4"/>
      <c r="J32" s="4"/>
    </row>
    <row r="33" spans="2:10">
      <c r="C33" s="194">
        <f t="shared" si="5"/>
        <v>80</v>
      </c>
      <c r="D33" s="136">
        <f t="shared" si="4"/>
        <v>47.434164902525694</v>
      </c>
      <c r="E33" s="4"/>
      <c r="F33" s="4"/>
      <c r="G33" s="178"/>
      <c r="H33" s="4"/>
      <c r="I33" s="4"/>
      <c r="J33" s="4"/>
    </row>
    <row r="34" spans="2:10">
      <c r="C34" s="194">
        <f t="shared" si="5"/>
        <v>80.5</v>
      </c>
      <c r="D34" s="136">
        <f t="shared" si="4"/>
        <v>42.2757439689668</v>
      </c>
      <c r="E34" s="4"/>
      <c r="F34" s="4"/>
      <c r="G34" s="178"/>
      <c r="H34" s="4"/>
      <c r="I34" s="4"/>
      <c r="J34" s="4"/>
    </row>
    <row r="35" spans="2:10">
      <c r="C35" s="194">
        <f t="shared" si="5"/>
        <v>81</v>
      </c>
      <c r="D35" s="136">
        <f t="shared" si="4"/>
        <v>37.678296472643702</v>
      </c>
      <c r="E35" s="4"/>
      <c r="F35" s="4"/>
      <c r="G35" s="178"/>
      <c r="H35" s="4"/>
      <c r="I35" s="4"/>
      <c r="J35" s="4"/>
    </row>
    <row r="36" spans="2:10">
      <c r="C36" s="194">
        <f t="shared" si="5"/>
        <v>81.5</v>
      </c>
      <c r="D36" s="136">
        <f t="shared" si="4"/>
        <v>33.580817078525087</v>
      </c>
      <c r="E36" s="4"/>
      <c r="F36" s="4"/>
      <c r="G36" s="178"/>
      <c r="H36" s="4"/>
      <c r="I36" s="4"/>
      <c r="J36" s="4"/>
    </row>
    <row r="37" spans="2:10">
      <c r="C37" s="194">
        <f t="shared" si="5"/>
        <v>82</v>
      </c>
      <c r="D37" s="136">
        <f t="shared" si="4"/>
        <v>29.928934724533192</v>
      </c>
      <c r="E37" s="4"/>
      <c r="F37" s="4"/>
      <c r="G37" s="178"/>
      <c r="H37" s="4"/>
      <c r="I37" s="4"/>
      <c r="J37" s="4"/>
    </row>
    <row r="38" spans="2:10">
      <c r="C38" s="194">
        <f t="shared" si="5"/>
        <v>82.5</v>
      </c>
      <c r="D38" s="136">
        <f t="shared" si="4"/>
        <v>26.674191150583834</v>
      </c>
      <c r="E38" s="4"/>
      <c r="F38" s="4"/>
      <c r="G38" s="178"/>
      <c r="H38" s="4"/>
      <c r="I38" s="4"/>
      <c r="J38" s="4"/>
    </row>
    <row r="39" spans="2:10">
      <c r="B39" s="187" t="s">
        <v>204</v>
      </c>
      <c r="C39" s="194">
        <f t="shared" si="5"/>
        <v>83</v>
      </c>
      <c r="D39" s="136">
        <f t="shared" si="4"/>
        <v>23.773397886916698</v>
      </c>
      <c r="E39" s="204" t="s">
        <v>122</v>
      </c>
      <c r="F39" s="4"/>
      <c r="G39" s="178"/>
      <c r="H39" s="4"/>
      <c r="I39" s="4"/>
      <c r="J39" s="4"/>
    </row>
    <row r="40" spans="2:10">
      <c r="C40" s="194"/>
      <c r="D40" s="188"/>
      <c r="E40" s="4"/>
      <c r="F40" s="4"/>
      <c r="G40" s="178"/>
      <c r="H40" s="4"/>
      <c r="I40" s="4"/>
      <c r="J40" s="4"/>
    </row>
    <row r="41" spans="2:10">
      <c r="C41" s="194"/>
      <c r="D41" s="188"/>
      <c r="E41" s="4"/>
      <c r="F41" s="4"/>
      <c r="G41" s="178"/>
      <c r="H41" s="4"/>
      <c r="I41" s="4"/>
      <c r="J41" s="4"/>
    </row>
    <row r="42" spans="2:10">
      <c r="C42" s="58"/>
      <c r="D42" s="204"/>
      <c r="E42" s="4"/>
      <c r="F42" s="4"/>
      <c r="G42" s="178"/>
      <c r="H42" s="4"/>
      <c r="I42" s="4"/>
      <c r="J42" s="4"/>
    </row>
    <row r="43" spans="2:10">
      <c r="C43" s="58"/>
      <c r="D43" s="204"/>
      <c r="E43" s="4"/>
      <c r="F43" s="4"/>
      <c r="G43" s="178"/>
      <c r="H43" s="4"/>
      <c r="I43" s="4"/>
      <c r="J43" s="4"/>
    </row>
    <row r="44" spans="2:10">
      <c r="C44" s="58"/>
      <c r="D44" s="204"/>
      <c r="E44" s="4"/>
      <c r="F44" s="4"/>
      <c r="G44" s="178"/>
      <c r="H44" s="4"/>
      <c r="I44" s="4"/>
    </row>
    <row r="45" spans="2:10">
      <c r="C45" s="58"/>
      <c r="D45" s="204"/>
      <c r="E45" s="4"/>
      <c r="F45" s="4"/>
      <c r="G45" s="178"/>
      <c r="H45" s="4"/>
      <c r="I45" s="4"/>
    </row>
    <row r="46" spans="2:10">
      <c r="C46" s="58"/>
      <c r="D46" s="204"/>
      <c r="E46" s="4"/>
      <c r="F46" s="4"/>
      <c r="G46" s="178"/>
      <c r="H46" s="4"/>
      <c r="I46" s="4"/>
    </row>
  </sheetData>
  <phoneticPr fontId="20" type="noConversion"/>
  <printOptions gridLines="1"/>
  <pageMargins left="0.75" right="0.75" top="0.5" bottom="0.5" header="0.5" footer="0.5"/>
  <pageSetup scale="44" orientation="landscape" horizontalDpi="4294967294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BC24"/>
  <sheetViews>
    <sheetView topLeftCell="F1" zoomScale="50" zoomScaleNormal="50" workbookViewId="0">
      <selection activeCell="AY14" sqref="AY14"/>
    </sheetView>
  </sheetViews>
  <sheetFormatPr defaultColWidth="8.88671875" defaultRowHeight="13.2"/>
  <cols>
    <col min="2" max="2" width="49.5546875" customWidth="1"/>
    <col min="3" max="3" width="5.6640625" style="3" customWidth="1"/>
    <col min="4" max="19" width="5.6640625" customWidth="1"/>
    <col min="20" max="20" width="6.109375" customWidth="1"/>
    <col min="21" max="50" width="5.6640625" customWidth="1"/>
  </cols>
  <sheetData>
    <row r="1" spans="1:55" ht="17.399999999999999">
      <c r="B1" s="334" t="s">
        <v>192</v>
      </c>
      <c r="C1" s="37"/>
      <c r="D1" s="27"/>
      <c r="E1" s="27"/>
      <c r="F1" s="27"/>
      <c r="G1" s="138"/>
      <c r="H1" s="27"/>
      <c r="I1" s="241" t="s">
        <v>115</v>
      </c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133"/>
      <c r="AZ1" s="133"/>
    </row>
    <row r="2" spans="1:55"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3"/>
      <c r="AZ2" s="133"/>
    </row>
    <row r="3" spans="1:55" s="53" customFormat="1">
      <c r="B3" s="187"/>
      <c r="C3" s="206">
        <v>1</v>
      </c>
      <c r="D3" s="206">
        <v>2</v>
      </c>
      <c r="E3" s="206">
        <v>3</v>
      </c>
      <c r="F3" s="206">
        <v>4</v>
      </c>
      <c r="G3" s="206">
        <v>5</v>
      </c>
      <c r="H3" s="206">
        <v>6</v>
      </c>
      <c r="I3" s="206">
        <v>7</v>
      </c>
      <c r="J3" s="206">
        <v>8</v>
      </c>
      <c r="K3" s="206">
        <v>9</v>
      </c>
      <c r="L3" s="206">
        <v>10</v>
      </c>
      <c r="M3" s="206">
        <v>11</v>
      </c>
      <c r="N3" s="206">
        <v>12</v>
      </c>
      <c r="O3" s="206">
        <v>13</v>
      </c>
      <c r="P3" s="206">
        <v>14</v>
      </c>
      <c r="Q3" s="206">
        <v>15</v>
      </c>
      <c r="R3" s="206">
        <v>16</v>
      </c>
      <c r="S3" s="206">
        <v>17</v>
      </c>
      <c r="T3" s="206">
        <v>18</v>
      </c>
      <c r="U3" s="206">
        <v>19</v>
      </c>
      <c r="V3" s="206">
        <v>20</v>
      </c>
      <c r="W3" s="206">
        <v>21</v>
      </c>
      <c r="X3" s="206">
        <v>22</v>
      </c>
      <c r="Y3" s="206">
        <v>23</v>
      </c>
      <c r="Z3" s="206">
        <v>24</v>
      </c>
      <c r="AA3" s="206">
        <v>25</v>
      </c>
      <c r="AB3" s="206">
        <v>26</v>
      </c>
      <c r="AC3" s="206">
        <v>27</v>
      </c>
      <c r="AD3" s="206">
        <v>28</v>
      </c>
      <c r="AE3" s="206">
        <v>29</v>
      </c>
      <c r="AF3" s="206">
        <v>30</v>
      </c>
      <c r="AG3" s="206">
        <v>31</v>
      </c>
      <c r="AH3" s="206">
        <v>32</v>
      </c>
      <c r="AI3" s="206">
        <v>33</v>
      </c>
      <c r="AJ3" s="206">
        <v>34</v>
      </c>
      <c r="AK3" s="206">
        <v>35</v>
      </c>
      <c r="AL3" s="206">
        <v>36</v>
      </c>
      <c r="AM3" s="206">
        <v>37</v>
      </c>
      <c r="AN3" s="206">
        <v>38</v>
      </c>
      <c r="AO3" s="206">
        <v>39</v>
      </c>
      <c r="AP3" s="206">
        <v>40</v>
      </c>
      <c r="AQ3" s="206">
        <v>41</v>
      </c>
      <c r="AR3" s="206">
        <v>42</v>
      </c>
      <c r="AS3" s="206">
        <v>43</v>
      </c>
      <c r="AT3" s="206">
        <v>44</v>
      </c>
      <c r="AU3" s="206">
        <v>45</v>
      </c>
      <c r="AV3" s="206">
        <v>46</v>
      </c>
      <c r="AW3" s="206">
        <v>47</v>
      </c>
      <c r="AX3" s="206">
        <v>48</v>
      </c>
      <c r="AY3" s="123" t="s">
        <v>57</v>
      </c>
      <c r="AZ3" s="123" t="s">
        <v>41</v>
      </c>
      <c r="BA3" s="108" t="s">
        <v>23</v>
      </c>
      <c r="BB3" s="185"/>
      <c r="BC3" s="185"/>
    </row>
    <row r="4" spans="1:55" s="53" customFormat="1" ht="21">
      <c r="A4" s="327">
        <v>101</v>
      </c>
      <c r="B4" s="322" t="s">
        <v>149</v>
      </c>
      <c r="C4" s="261"/>
      <c r="D4" s="262">
        <v>45</v>
      </c>
      <c r="E4" s="262">
        <v>63</v>
      </c>
      <c r="F4" s="262">
        <v>65</v>
      </c>
      <c r="G4" s="262">
        <v>45</v>
      </c>
      <c r="H4" s="262">
        <v>50</v>
      </c>
      <c r="I4" s="262">
        <v>60</v>
      </c>
      <c r="J4" s="262"/>
      <c r="K4" s="262">
        <v>95</v>
      </c>
      <c r="L4" s="262"/>
      <c r="M4" s="262">
        <v>36</v>
      </c>
      <c r="N4" s="262">
        <v>83</v>
      </c>
      <c r="O4" s="262">
        <v>54</v>
      </c>
      <c r="P4" s="262">
        <v>75</v>
      </c>
      <c r="Q4" s="262">
        <v>55</v>
      </c>
      <c r="R4" s="262">
        <v>60</v>
      </c>
      <c r="S4" s="262">
        <v>72.5</v>
      </c>
      <c r="T4" s="262">
        <v>70</v>
      </c>
      <c r="U4" s="262">
        <v>60</v>
      </c>
      <c r="V4" s="262">
        <v>90</v>
      </c>
      <c r="W4" s="262">
        <v>72.5</v>
      </c>
      <c r="X4" s="262">
        <v>60</v>
      </c>
      <c r="Y4" s="262"/>
      <c r="Z4" s="262"/>
      <c r="AA4" s="262">
        <v>61.5</v>
      </c>
      <c r="AB4" s="262"/>
      <c r="AC4" s="262"/>
      <c r="AD4" s="262"/>
      <c r="AE4" s="262">
        <v>67.5</v>
      </c>
      <c r="AF4" s="262">
        <v>69</v>
      </c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49"/>
      <c r="AS4" s="249"/>
      <c r="AT4" s="249"/>
      <c r="AU4" s="249"/>
      <c r="AV4" s="249"/>
      <c r="AW4" s="249"/>
      <c r="AX4" s="249"/>
      <c r="AY4" s="197">
        <f>AVERAGE(C4:AX4)</f>
        <v>64.045454545454547</v>
      </c>
      <c r="AZ4" s="197">
        <f t="shared" ref="AZ4:AZ11" si="0">IF(AY4&lt;5,5,AY4)</f>
        <v>64.045454545454547</v>
      </c>
      <c r="BA4" s="137">
        <f>RANK(AZ4,$AZ$4:$AZ$12)</f>
        <v>7</v>
      </c>
      <c r="BB4" s="185"/>
      <c r="BC4" s="185"/>
    </row>
    <row r="5" spans="1:55" s="53" customFormat="1" ht="23.4">
      <c r="A5" s="327">
        <v>102</v>
      </c>
      <c r="B5" s="323" t="s">
        <v>151</v>
      </c>
      <c r="C5" s="261"/>
      <c r="D5" s="262">
        <v>57.5</v>
      </c>
      <c r="E5" s="262">
        <v>67</v>
      </c>
      <c r="F5" s="262">
        <v>57.5</v>
      </c>
      <c r="G5" s="262">
        <v>60</v>
      </c>
      <c r="H5" s="262">
        <v>75</v>
      </c>
      <c r="I5" s="262">
        <v>60</v>
      </c>
      <c r="J5" s="262">
        <v>60</v>
      </c>
      <c r="K5" s="262">
        <v>85</v>
      </c>
      <c r="L5" s="262">
        <v>65</v>
      </c>
      <c r="M5" s="262">
        <v>45</v>
      </c>
      <c r="N5" s="262">
        <v>63</v>
      </c>
      <c r="O5" s="262">
        <v>70</v>
      </c>
      <c r="P5" s="262"/>
      <c r="Q5" s="262">
        <v>50</v>
      </c>
      <c r="R5" s="262">
        <v>52.5</v>
      </c>
      <c r="S5" s="262">
        <v>72.5</v>
      </c>
      <c r="T5" s="262">
        <v>73</v>
      </c>
      <c r="U5" s="262">
        <v>73</v>
      </c>
      <c r="V5" s="262">
        <v>60</v>
      </c>
      <c r="W5" s="262">
        <v>77.5</v>
      </c>
      <c r="X5" s="262">
        <v>64</v>
      </c>
      <c r="Y5" s="262"/>
      <c r="Z5" s="262"/>
      <c r="AA5" s="262">
        <v>63</v>
      </c>
      <c r="AB5" s="262"/>
      <c r="AC5" s="262"/>
      <c r="AD5" s="262"/>
      <c r="AE5" s="262">
        <v>80.5</v>
      </c>
      <c r="AF5" s="262">
        <v>74</v>
      </c>
      <c r="AG5" s="262"/>
      <c r="AH5" s="262"/>
      <c r="AI5" s="262"/>
      <c r="AJ5" s="262"/>
      <c r="AK5" s="262"/>
      <c r="AL5" s="262"/>
      <c r="AM5" s="262"/>
      <c r="AN5" s="262"/>
      <c r="AO5" s="262"/>
      <c r="AP5" s="262"/>
      <c r="AQ5" s="262"/>
      <c r="AR5" s="249"/>
      <c r="AS5" s="249"/>
      <c r="AT5" s="249"/>
      <c r="AU5" s="249"/>
      <c r="AV5" s="249"/>
      <c r="AW5" s="249"/>
      <c r="AX5" s="249"/>
      <c r="AY5" s="197">
        <f t="shared" ref="AY5:AY12" si="1">AVERAGE(C5:AX5)</f>
        <v>65.434782608695656</v>
      </c>
      <c r="AZ5" s="197">
        <f t="shared" si="0"/>
        <v>65.434782608695656</v>
      </c>
      <c r="BA5" s="137">
        <f t="shared" ref="BA5:BA11" si="2">RANK(AZ5,$AZ$4:$AZ$12)</f>
        <v>5</v>
      </c>
      <c r="BB5" s="185"/>
      <c r="BC5" s="185"/>
    </row>
    <row r="6" spans="1:55" ht="23.4">
      <c r="A6" s="327">
        <v>103</v>
      </c>
      <c r="B6" s="323" t="s">
        <v>147</v>
      </c>
      <c r="C6" s="263"/>
      <c r="D6" s="263">
        <v>70</v>
      </c>
      <c r="E6" s="263"/>
      <c r="F6" s="263"/>
      <c r="G6" s="263">
        <v>47.5</v>
      </c>
      <c r="H6" s="263">
        <v>52.5</v>
      </c>
      <c r="I6" s="263">
        <v>65</v>
      </c>
      <c r="J6" s="263">
        <v>35</v>
      </c>
      <c r="K6" s="263">
        <v>95</v>
      </c>
      <c r="L6" s="263">
        <v>63</v>
      </c>
      <c r="M6" s="263">
        <v>44</v>
      </c>
      <c r="N6" s="263">
        <v>74</v>
      </c>
      <c r="O6" s="263">
        <v>59</v>
      </c>
      <c r="P6" s="263">
        <v>58</v>
      </c>
      <c r="Q6" s="263">
        <v>70</v>
      </c>
      <c r="R6" s="263">
        <v>55</v>
      </c>
      <c r="S6" s="263">
        <v>77.5</v>
      </c>
      <c r="T6" s="263">
        <v>67</v>
      </c>
      <c r="U6" s="263">
        <v>63</v>
      </c>
      <c r="V6" s="263">
        <v>60</v>
      </c>
      <c r="W6" s="263">
        <v>70</v>
      </c>
      <c r="X6" s="263">
        <v>51</v>
      </c>
      <c r="Y6" s="263"/>
      <c r="Z6" s="263"/>
      <c r="AA6" s="263">
        <v>65</v>
      </c>
      <c r="AB6" s="263"/>
      <c r="AC6" s="263"/>
      <c r="AD6" s="263"/>
      <c r="AE6" s="263">
        <v>44</v>
      </c>
      <c r="AF6" s="263">
        <v>52</v>
      </c>
      <c r="AG6" s="263"/>
      <c r="AH6" s="263"/>
      <c r="AI6" s="263"/>
      <c r="AJ6" s="263"/>
      <c r="AK6" s="263"/>
      <c r="AL6" s="263"/>
      <c r="AM6" s="263"/>
      <c r="AN6" s="263"/>
      <c r="AO6" s="263"/>
      <c r="AP6" s="263"/>
      <c r="AQ6" s="263"/>
      <c r="AR6" s="250"/>
      <c r="AS6" s="250"/>
      <c r="AT6" s="250"/>
      <c r="AU6" s="250"/>
      <c r="AV6" s="250"/>
      <c r="AW6" s="250"/>
      <c r="AX6" s="250"/>
      <c r="AY6" s="197">
        <f t="shared" si="1"/>
        <v>60.795454545454547</v>
      </c>
      <c r="AZ6" s="197">
        <f t="shared" si="0"/>
        <v>60.795454545454547</v>
      </c>
      <c r="BA6" s="137">
        <f t="shared" si="2"/>
        <v>8</v>
      </c>
    </row>
    <row r="7" spans="1:55" ht="23.4">
      <c r="A7" s="327">
        <v>104</v>
      </c>
      <c r="B7" s="323" t="s">
        <v>148</v>
      </c>
      <c r="C7" s="263"/>
      <c r="D7" s="263">
        <v>55</v>
      </c>
      <c r="E7" s="263"/>
      <c r="F7" s="263"/>
      <c r="G7" s="263">
        <v>32.5</v>
      </c>
      <c r="H7" s="263">
        <v>72.5</v>
      </c>
      <c r="I7" s="263">
        <v>65</v>
      </c>
      <c r="J7" s="263">
        <v>42.5</v>
      </c>
      <c r="K7" s="263">
        <v>70</v>
      </c>
      <c r="L7" s="263">
        <v>69</v>
      </c>
      <c r="M7" s="263">
        <v>36</v>
      </c>
      <c r="N7" s="263">
        <v>79</v>
      </c>
      <c r="O7" s="263">
        <v>59</v>
      </c>
      <c r="P7" s="263">
        <v>71</v>
      </c>
      <c r="Q7" s="263">
        <v>67.5</v>
      </c>
      <c r="R7" s="263">
        <v>62.5</v>
      </c>
      <c r="S7" s="263">
        <v>90</v>
      </c>
      <c r="T7" s="263">
        <v>60</v>
      </c>
      <c r="U7" s="263">
        <v>62.5</v>
      </c>
      <c r="V7" s="263">
        <v>87.5</v>
      </c>
      <c r="W7" s="263">
        <v>67.5</v>
      </c>
      <c r="X7" s="263">
        <v>67</v>
      </c>
      <c r="Y7" s="263"/>
      <c r="Z7" s="263"/>
      <c r="AA7" s="263">
        <v>64</v>
      </c>
      <c r="AB7" s="263">
        <v>73</v>
      </c>
      <c r="AC7" s="263"/>
      <c r="AD7" s="263">
        <v>45</v>
      </c>
      <c r="AE7" s="263">
        <v>75.5</v>
      </c>
      <c r="AF7" s="263">
        <v>69</v>
      </c>
      <c r="AG7" s="263"/>
      <c r="AH7" s="263"/>
      <c r="AI7" s="263"/>
      <c r="AJ7" s="263"/>
      <c r="AK7" s="263"/>
      <c r="AL7" s="263"/>
      <c r="AM7" s="263"/>
      <c r="AN7" s="263"/>
      <c r="AO7" s="263"/>
      <c r="AP7" s="263"/>
      <c r="AQ7" s="263"/>
      <c r="AR7" s="250"/>
      <c r="AS7" s="250"/>
      <c r="AT7" s="248"/>
      <c r="AU7" s="250"/>
      <c r="AV7" s="250"/>
      <c r="AW7" s="250"/>
      <c r="AX7" s="250"/>
      <c r="AY7" s="197">
        <f t="shared" si="1"/>
        <v>64.270833333333329</v>
      </c>
      <c r="AZ7" s="197">
        <f t="shared" si="0"/>
        <v>64.270833333333329</v>
      </c>
      <c r="BA7" s="137">
        <f t="shared" si="2"/>
        <v>6</v>
      </c>
    </row>
    <row r="8" spans="1:55" ht="23.4">
      <c r="A8" s="327">
        <v>106</v>
      </c>
      <c r="B8" s="323" t="s">
        <v>152</v>
      </c>
      <c r="C8" s="263"/>
      <c r="D8" s="263"/>
      <c r="E8" s="263">
        <v>75</v>
      </c>
      <c r="F8" s="263"/>
      <c r="G8" s="263">
        <v>60</v>
      </c>
      <c r="H8" s="263">
        <v>80</v>
      </c>
      <c r="I8" s="263">
        <v>73</v>
      </c>
      <c r="J8" s="263">
        <v>45</v>
      </c>
      <c r="K8" s="263">
        <v>80</v>
      </c>
      <c r="L8" s="263">
        <v>69</v>
      </c>
      <c r="M8" s="263">
        <v>43</v>
      </c>
      <c r="N8" s="263">
        <v>79</v>
      </c>
      <c r="O8" s="263">
        <v>65</v>
      </c>
      <c r="P8" s="263">
        <v>74</v>
      </c>
      <c r="Q8" s="263">
        <v>50</v>
      </c>
      <c r="R8" s="263">
        <v>60</v>
      </c>
      <c r="S8" s="263">
        <v>92.5</v>
      </c>
      <c r="T8" s="263">
        <v>66</v>
      </c>
      <c r="U8" s="263">
        <v>58</v>
      </c>
      <c r="V8" s="263">
        <v>95</v>
      </c>
      <c r="W8" s="263">
        <v>77.5</v>
      </c>
      <c r="X8" s="263">
        <v>76</v>
      </c>
      <c r="Y8" s="263">
        <v>72</v>
      </c>
      <c r="Z8" s="263"/>
      <c r="AA8" s="263">
        <v>92.5</v>
      </c>
      <c r="AB8" s="263">
        <v>79</v>
      </c>
      <c r="AC8" s="263"/>
      <c r="AD8" s="263">
        <v>55</v>
      </c>
      <c r="AE8" s="263">
        <v>60</v>
      </c>
      <c r="AF8" s="263">
        <v>72</v>
      </c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50"/>
      <c r="AS8" s="250"/>
      <c r="AT8" s="250"/>
      <c r="AU8" s="250"/>
      <c r="AV8" s="250"/>
      <c r="AW8" s="250"/>
      <c r="AX8" s="250"/>
      <c r="AY8" s="197">
        <f t="shared" si="1"/>
        <v>69.94</v>
      </c>
      <c r="AZ8" s="197">
        <f t="shared" si="0"/>
        <v>69.94</v>
      </c>
      <c r="BA8" s="137">
        <f t="shared" si="2"/>
        <v>4</v>
      </c>
    </row>
    <row r="9" spans="1:55" ht="46.8">
      <c r="A9" s="327">
        <v>107</v>
      </c>
      <c r="B9" s="323" t="s">
        <v>153</v>
      </c>
      <c r="C9" s="263"/>
      <c r="D9" s="263">
        <v>77.5</v>
      </c>
      <c r="E9" s="263"/>
      <c r="F9" s="263"/>
      <c r="G9" s="263"/>
      <c r="H9" s="263">
        <v>67.5</v>
      </c>
      <c r="I9" s="263">
        <v>75</v>
      </c>
      <c r="J9" s="263">
        <v>67.5</v>
      </c>
      <c r="K9" s="263">
        <v>70</v>
      </c>
      <c r="L9" s="263">
        <v>72</v>
      </c>
      <c r="M9" s="263">
        <v>41</v>
      </c>
      <c r="N9" s="263">
        <v>76</v>
      </c>
      <c r="O9" s="263">
        <v>64</v>
      </c>
      <c r="P9" s="263">
        <v>77</v>
      </c>
      <c r="Q9" s="263">
        <v>52.5</v>
      </c>
      <c r="R9" s="263"/>
      <c r="S9" s="263">
        <v>87.5</v>
      </c>
      <c r="T9" s="263">
        <v>73</v>
      </c>
      <c r="U9" s="263">
        <v>60</v>
      </c>
      <c r="V9" s="263">
        <v>95</v>
      </c>
      <c r="W9" s="263">
        <v>85</v>
      </c>
      <c r="X9" s="263">
        <v>65</v>
      </c>
      <c r="Y9" s="263"/>
      <c r="Z9" s="263">
        <v>60</v>
      </c>
      <c r="AA9" s="263">
        <v>85</v>
      </c>
      <c r="AB9" s="263">
        <v>85</v>
      </c>
      <c r="AC9" s="263">
        <v>67.5</v>
      </c>
      <c r="AD9" s="263"/>
      <c r="AE9" s="263">
        <v>73</v>
      </c>
      <c r="AF9" s="263">
        <v>63</v>
      </c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50"/>
      <c r="AS9" s="250"/>
      <c r="AT9" s="250"/>
      <c r="AU9" s="250"/>
      <c r="AV9" s="250"/>
      <c r="AW9" s="250"/>
      <c r="AX9" s="250"/>
      <c r="AY9" s="197">
        <f t="shared" si="1"/>
        <v>71.260869565217391</v>
      </c>
      <c r="AZ9" s="197">
        <f t="shared" si="0"/>
        <v>71.260869565217391</v>
      </c>
      <c r="BA9" s="137">
        <f t="shared" si="2"/>
        <v>2</v>
      </c>
    </row>
    <row r="10" spans="1:55" ht="23.4">
      <c r="A10" s="327">
        <v>108</v>
      </c>
      <c r="B10" s="323" t="s">
        <v>150</v>
      </c>
      <c r="C10" s="263"/>
      <c r="D10" s="263">
        <v>85</v>
      </c>
      <c r="E10" s="263"/>
      <c r="F10" s="263"/>
      <c r="G10" s="263"/>
      <c r="H10" s="263">
        <v>80</v>
      </c>
      <c r="I10" s="263">
        <v>75</v>
      </c>
      <c r="J10" s="263">
        <v>67.5</v>
      </c>
      <c r="K10" s="263">
        <v>97.5</v>
      </c>
      <c r="L10" s="263">
        <v>59</v>
      </c>
      <c r="M10" s="263">
        <v>56</v>
      </c>
      <c r="N10" s="263">
        <v>76</v>
      </c>
      <c r="O10" s="263"/>
      <c r="P10" s="263"/>
      <c r="Q10" s="263">
        <v>72.5</v>
      </c>
      <c r="R10" s="263"/>
      <c r="S10" s="263">
        <v>97.5</v>
      </c>
      <c r="T10" s="263">
        <v>74</v>
      </c>
      <c r="U10" s="263">
        <v>77.5</v>
      </c>
      <c r="V10" s="263">
        <v>97.5</v>
      </c>
      <c r="W10" s="263">
        <v>85</v>
      </c>
      <c r="X10" s="263">
        <v>70</v>
      </c>
      <c r="Y10" s="263">
        <v>69.5</v>
      </c>
      <c r="Z10" s="263">
        <v>70</v>
      </c>
      <c r="AA10" s="263"/>
      <c r="AB10" s="263">
        <v>84</v>
      </c>
      <c r="AC10" s="263"/>
      <c r="AD10" s="263">
        <v>65</v>
      </c>
      <c r="AE10" s="263">
        <v>72.5</v>
      </c>
      <c r="AF10" s="263">
        <v>72</v>
      </c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50"/>
      <c r="AS10" s="250"/>
      <c r="AT10" s="250"/>
      <c r="AU10" s="250"/>
      <c r="AV10" s="250"/>
      <c r="AW10" s="250"/>
      <c r="AX10" s="250"/>
      <c r="AY10" s="197">
        <f t="shared" si="1"/>
        <v>76.333333333333329</v>
      </c>
      <c r="AZ10" s="197">
        <f t="shared" si="0"/>
        <v>76.333333333333329</v>
      </c>
      <c r="BA10" s="137">
        <f t="shared" si="2"/>
        <v>1</v>
      </c>
    </row>
    <row r="11" spans="1:55" ht="23.4">
      <c r="A11" s="327">
        <v>111</v>
      </c>
      <c r="B11" s="323" t="s">
        <v>182</v>
      </c>
      <c r="C11" s="263"/>
      <c r="D11" s="263">
        <v>65</v>
      </c>
      <c r="E11" s="263"/>
      <c r="F11" s="263"/>
      <c r="G11" s="263"/>
      <c r="H11" s="263">
        <v>52.5</v>
      </c>
      <c r="I11" s="263">
        <v>80</v>
      </c>
      <c r="J11" s="263">
        <v>52.5</v>
      </c>
      <c r="K11" s="263">
        <v>100</v>
      </c>
      <c r="L11" s="263">
        <v>72</v>
      </c>
      <c r="M11" s="263">
        <v>51</v>
      </c>
      <c r="N11" s="263">
        <v>69</v>
      </c>
      <c r="O11" s="263"/>
      <c r="P11" s="263"/>
      <c r="Q11" s="263">
        <v>57.5</v>
      </c>
      <c r="R11" s="263"/>
      <c r="S11" s="263">
        <v>90</v>
      </c>
      <c r="T11" s="263">
        <v>68</v>
      </c>
      <c r="U11" s="263">
        <v>74</v>
      </c>
      <c r="V11" s="263">
        <v>92.5</v>
      </c>
      <c r="W11" s="263">
        <v>80</v>
      </c>
      <c r="X11" s="263"/>
      <c r="Y11" s="263"/>
      <c r="Z11" s="263"/>
      <c r="AA11" s="263">
        <v>64</v>
      </c>
      <c r="AB11" s="263"/>
      <c r="AC11" s="263"/>
      <c r="AD11" s="263"/>
      <c r="AE11" s="263"/>
      <c r="AF11" s="263">
        <v>71</v>
      </c>
      <c r="AG11" s="263"/>
      <c r="AH11" s="263"/>
      <c r="AI11" s="263"/>
      <c r="AJ11" s="263"/>
      <c r="AK11" s="263"/>
      <c r="AL11" s="263"/>
      <c r="AM11" s="263"/>
      <c r="AN11" s="263"/>
      <c r="AO11" s="263"/>
      <c r="AP11" s="263"/>
      <c r="AQ11" s="263"/>
      <c r="AR11" s="250"/>
      <c r="AS11" s="250"/>
      <c r="AT11" s="250"/>
      <c r="AU11" s="250"/>
      <c r="AV11" s="250"/>
      <c r="AW11" s="250"/>
      <c r="AX11" s="250"/>
      <c r="AY11" s="197">
        <f t="shared" si="1"/>
        <v>71.1875</v>
      </c>
      <c r="AZ11" s="197">
        <f t="shared" si="0"/>
        <v>71.1875</v>
      </c>
      <c r="BA11" s="137">
        <f t="shared" si="2"/>
        <v>3</v>
      </c>
    </row>
    <row r="12" spans="1:55" ht="46.8">
      <c r="A12" s="327">
        <v>112</v>
      </c>
      <c r="B12" s="323" t="s">
        <v>183</v>
      </c>
      <c r="C12" s="360"/>
      <c r="D12" s="361">
        <v>42.5</v>
      </c>
      <c r="E12" s="361"/>
      <c r="F12" s="361"/>
      <c r="G12" s="361"/>
      <c r="H12" s="361">
        <v>52.5</v>
      </c>
      <c r="I12" s="361">
        <v>60</v>
      </c>
      <c r="J12" s="361">
        <v>37.5</v>
      </c>
      <c r="K12" s="361">
        <v>65</v>
      </c>
      <c r="L12" s="361">
        <v>63</v>
      </c>
      <c r="M12" s="361">
        <v>43</v>
      </c>
      <c r="N12" s="361">
        <v>62.5</v>
      </c>
      <c r="O12" s="361"/>
      <c r="P12" s="361"/>
      <c r="Q12" s="361">
        <v>27.5</v>
      </c>
      <c r="R12" s="361"/>
      <c r="S12" s="361">
        <v>77.5</v>
      </c>
      <c r="T12" s="361">
        <v>57</v>
      </c>
      <c r="U12" s="361">
        <v>64</v>
      </c>
      <c r="V12" s="361">
        <v>82.5</v>
      </c>
      <c r="W12" s="361">
        <v>70</v>
      </c>
      <c r="X12" s="361">
        <v>54</v>
      </c>
      <c r="Y12" s="361"/>
      <c r="Z12" s="361"/>
      <c r="AA12" s="361">
        <v>68</v>
      </c>
      <c r="AB12" s="361"/>
      <c r="AC12" s="361"/>
      <c r="AD12" s="361">
        <v>57.5</v>
      </c>
      <c r="AE12" s="361"/>
      <c r="AF12" s="361">
        <v>52</v>
      </c>
      <c r="AG12" s="361"/>
      <c r="AH12" s="237"/>
      <c r="AI12" s="237"/>
      <c r="AJ12" s="237"/>
      <c r="AK12" s="237"/>
      <c r="AL12" s="237"/>
      <c r="AM12" s="237"/>
      <c r="AN12" s="289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197">
        <f t="shared" si="1"/>
        <v>57.555555555555557</v>
      </c>
      <c r="AZ12" s="197">
        <f t="shared" ref="AZ12" si="3">IF(AY12&lt;5,5,AY12)</f>
        <v>57.555555555555557</v>
      </c>
      <c r="BA12" s="137">
        <f t="shared" ref="BA12" si="4">RANK(AZ12,$AZ$4:$AZ$12)</f>
        <v>9</v>
      </c>
    </row>
    <row r="14" spans="1:55" ht="12.75" customHeight="1">
      <c r="C14" s="463"/>
      <c r="D14" s="463"/>
      <c r="E14" s="463"/>
      <c r="F14" s="462"/>
      <c r="G14" s="462"/>
      <c r="H14" s="462"/>
      <c r="I14" s="462"/>
      <c r="J14" s="462"/>
      <c r="K14" s="462"/>
      <c r="L14" s="462"/>
      <c r="M14" s="464"/>
      <c r="N14" s="462"/>
      <c r="O14" s="462"/>
      <c r="P14" s="462"/>
      <c r="Q14" s="462"/>
      <c r="R14" s="462"/>
      <c r="S14" s="462"/>
      <c r="T14" s="462"/>
      <c r="U14" s="462"/>
      <c r="V14" s="462"/>
      <c r="W14" s="462"/>
      <c r="X14" s="462"/>
      <c r="Y14" s="291"/>
      <c r="Z14" s="291"/>
      <c r="AA14" s="291"/>
      <c r="AB14" s="291"/>
      <c r="AC14" s="291"/>
      <c r="AD14" s="291"/>
      <c r="AE14" s="291"/>
      <c r="AF14" s="291"/>
      <c r="AG14" s="291"/>
      <c r="AH14" s="291"/>
      <c r="AI14" s="291"/>
      <c r="AJ14" s="291"/>
      <c r="AK14" s="291"/>
      <c r="AL14" s="462"/>
      <c r="AM14" s="462"/>
      <c r="AN14" s="462"/>
      <c r="AO14" s="462"/>
      <c r="AP14" s="462"/>
      <c r="AQ14" s="462"/>
      <c r="AR14" s="463"/>
    </row>
    <row r="15" spans="1:55">
      <c r="C15" s="463"/>
      <c r="D15" s="463"/>
      <c r="E15" s="463"/>
      <c r="F15" s="463"/>
      <c r="G15" s="463"/>
      <c r="H15" s="463"/>
      <c r="I15" s="463"/>
      <c r="J15" s="463"/>
      <c r="K15" s="463"/>
      <c r="L15" s="463"/>
      <c r="M15" s="464"/>
      <c r="N15" s="463"/>
      <c r="O15" s="463"/>
      <c r="P15" s="463"/>
      <c r="Q15" s="463"/>
      <c r="R15" s="463"/>
      <c r="S15" s="463"/>
      <c r="T15" s="463"/>
      <c r="U15" s="463"/>
      <c r="V15" s="463"/>
      <c r="W15" s="463"/>
      <c r="X15" s="463"/>
      <c r="Y15" s="292"/>
      <c r="Z15" s="292"/>
      <c r="AA15" s="292"/>
      <c r="AB15" s="292"/>
      <c r="AC15" s="292"/>
      <c r="AD15" s="292"/>
      <c r="AE15" s="292"/>
      <c r="AF15" s="292"/>
      <c r="AG15" s="292"/>
      <c r="AH15" s="292"/>
      <c r="AI15" s="292"/>
      <c r="AJ15" s="292"/>
      <c r="AK15" s="292"/>
      <c r="AL15" s="463"/>
      <c r="AM15" s="463"/>
      <c r="AN15" s="463"/>
      <c r="AO15" s="463"/>
      <c r="AP15" s="463"/>
      <c r="AQ15" s="463"/>
      <c r="AR15" s="463"/>
    </row>
    <row r="16" spans="1:55">
      <c r="C16" s="463"/>
      <c r="D16" s="463"/>
      <c r="E16" s="463"/>
      <c r="F16" s="463"/>
      <c r="G16" s="463"/>
      <c r="H16" s="463"/>
      <c r="I16" s="463"/>
      <c r="J16" s="463"/>
      <c r="K16" s="463"/>
      <c r="L16" s="463"/>
      <c r="M16" s="464"/>
      <c r="N16" s="463"/>
      <c r="O16" s="463"/>
      <c r="P16" s="463"/>
      <c r="Q16" s="463"/>
      <c r="R16" s="463"/>
      <c r="S16" s="463"/>
      <c r="T16" s="463"/>
      <c r="U16" s="463"/>
      <c r="V16" s="463"/>
      <c r="W16" s="463"/>
      <c r="X16" s="463"/>
      <c r="Y16" s="292"/>
      <c r="Z16" s="292"/>
      <c r="AA16" s="292"/>
      <c r="AB16" s="292"/>
      <c r="AC16" s="292"/>
      <c r="AD16" s="292"/>
      <c r="AE16" s="292"/>
      <c r="AF16" s="292"/>
      <c r="AG16" s="292"/>
      <c r="AH16" s="292"/>
      <c r="AI16" s="292"/>
      <c r="AJ16" s="292"/>
      <c r="AK16" s="292"/>
      <c r="AL16" s="463"/>
      <c r="AM16" s="463"/>
      <c r="AN16" s="463"/>
      <c r="AO16" s="463"/>
      <c r="AP16" s="463"/>
      <c r="AQ16" s="463"/>
      <c r="AR16" s="463"/>
    </row>
    <row r="17" spans="3:44">
      <c r="C17" s="463"/>
      <c r="D17" s="463"/>
      <c r="E17" s="463"/>
      <c r="F17" s="463"/>
      <c r="G17" s="463"/>
      <c r="H17" s="463"/>
      <c r="I17" s="463"/>
      <c r="J17" s="463"/>
      <c r="K17" s="463"/>
      <c r="L17" s="463"/>
      <c r="M17" s="464"/>
      <c r="N17" s="463"/>
      <c r="O17" s="463"/>
      <c r="P17" s="463"/>
      <c r="Q17" s="463"/>
      <c r="R17" s="463"/>
      <c r="S17" s="463"/>
      <c r="T17" s="463"/>
      <c r="U17" s="463"/>
      <c r="V17" s="463"/>
      <c r="W17" s="463"/>
      <c r="X17" s="463"/>
      <c r="Y17" s="292"/>
      <c r="Z17" s="292"/>
      <c r="AA17" s="292"/>
      <c r="AB17" s="292"/>
      <c r="AC17" s="292"/>
      <c r="AD17" s="292"/>
      <c r="AE17" s="292"/>
      <c r="AF17" s="292"/>
      <c r="AG17" s="292"/>
      <c r="AH17" s="292"/>
      <c r="AI17" s="292"/>
      <c r="AJ17" s="292"/>
      <c r="AK17" s="292"/>
      <c r="AL17" s="463"/>
      <c r="AM17" s="463"/>
      <c r="AN17" s="463"/>
      <c r="AO17" s="463"/>
      <c r="AP17" s="463"/>
      <c r="AQ17" s="463"/>
      <c r="AR17" s="463"/>
    </row>
    <row r="18" spans="3:44">
      <c r="C18" s="463"/>
      <c r="D18" s="463"/>
      <c r="E18" s="463"/>
      <c r="F18" s="463"/>
      <c r="G18" s="463"/>
      <c r="H18" s="463"/>
      <c r="I18" s="463"/>
      <c r="J18" s="463"/>
      <c r="K18" s="463"/>
      <c r="L18" s="463"/>
      <c r="M18" s="464"/>
      <c r="N18" s="463"/>
      <c r="O18" s="463"/>
      <c r="P18" s="463"/>
      <c r="Q18" s="463"/>
      <c r="R18" s="463"/>
      <c r="S18" s="463"/>
      <c r="T18" s="463"/>
      <c r="U18" s="463"/>
      <c r="V18" s="463"/>
      <c r="W18" s="463"/>
      <c r="X18" s="463"/>
      <c r="Y18" s="292"/>
      <c r="Z18" s="292"/>
      <c r="AA18" s="292"/>
      <c r="AB18" s="292"/>
      <c r="AC18" s="292"/>
      <c r="AD18" s="292"/>
      <c r="AE18" s="292"/>
      <c r="AF18" s="292"/>
      <c r="AG18" s="292"/>
      <c r="AH18" s="292"/>
      <c r="AI18" s="292"/>
      <c r="AJ18" s="292"/>
      <c r="AK18" s="292"/>
      <c r="AL18" s="463"/>
      <c r="AM18" s="463"/>
      <c r="AN18" s="463"/>
      <c r="AO18" s="463"/>
      <c r="AP18" s="463"/>
      <c r="AQ18" s="463"/>
      <c r="AR18" s="463"/>
    </row>
    <row r="19" spans="3:44">
      <c r="C19" s="463"/>
      <c r="D19" s="463"/>
      <c r="E19" s="463"/>
      <c r="F19" s="463"/>
      <c r="G19" s="463"/>
      <c r="H19" s="463"/>
      <c r="I19" s="463"/>
      <c r="J19" s="463"/>
      <c r="K19" s="463"/>
      <c r="L19" s="463"/>
      <c r="M19" s="464"/>
      <c r="N19" s="463"/>
      <c r="O19" s="463"/>
      <c r="P19" s="463"/>
      <c r="Q19" s="463"/>
      <c r="R19" s="463"/>
      <c r="S19" s="463"/>
      <c r="T19" s="463"/>
      <c r="U19" s="463"/>
      <c r="V19" s="463"/>
      <c r="W19" s="463"/>
      <c r="X19" s="463"/>
      <c r="Y19" s="292"/>
      <c r="Z19" s="292"/>
      <c r="AA19" s="292"/>
      <c r="AB19" s="292"/>
      <c r="AC19" s="292"/>
      <c r="AD19" s="292"/>
      <c r="AE19" s="292"/>
      <c r="AF19" s="292"/>
      <c r="AG19" s="292"/>
      <c r="AH19" s="292"/>
      <c r="AI19" s="292"/>
      <c r="AJ19" s="292"/>
      <c r="AK19" s="292"/>
      <c r="AL19" s="463"/>
      <c r="AM19" s="463"/>
      <c r="AN19" s="463"/>
      <c r="AO19" s="463"/>
      <c r="AP19" s="463"/>
      <c r="AQ19" s="463"/>
      <c r="AR19" s="463"/>
    </row>
    <row r="20" spans="3:44">
      <c r="C20" s="463"/>
      <c r="D20" s="463"/>
      <c r="E20" s="463"/>
      <c r="F20" s="463"/>
      <c r="G20" s="463"/>
      <c r="H20" s="463"/>
      <c r="I20" s="463"/>
      <c r="J20" s="463"/>
      <c r="K20" s="463"/>
      <c r="L20" s="463"/>
      <c r="M20" s="464"/>
      <c r="N20" s="463"/>
      <c r="O20" s="463"/>
      <c r="P20" s="463"/>
      <c r="Q20" s="463"/>
      <c r="R20" s="463"/>
      <c r="S20" s="463"/>
      <c r="T20" s="463"/>
      <c r="U20" s="463"/>
      <c r="V20" s="463"/>
      <c r="W20" s="463"/>
      <c r="X20" s="463"/>
      <c r="Y20" s="292"/>
      <c r="Z20" s="292"/>
      <c r="AA20" s="292"/>
      <c r="AB20" s="292"/>
      <c r="AC20" s="292"/>
      <c r="AD20" s="292"/>
      <c r="AE20" s="292"/>
      <c r="AF20" s="292"/>
      <c r="AG20" s="292"/>
      <c r="AH20" s="292"/>
      <c r="AI20" s="292"/>
      <c r="AJ20" s="292"/>
      <c r="AK20" s="292"/>
      <c r="AL20" s="463"/>
      <c r="AM20" s="463"/>
      <c r="AN20" s="463"/>
      <c r="AO20" s="463"/>
      <c r="AP20" s="463"/>
      <c r="AQ20" s="463"/>
      <c r="AR20" s="463"/>
    </row>
    <row r="21" spans="3:44">
      <c r="C21" s="463"/>
      <c r="D21" s="463"/>
      <c r="E21" s="463"/>
      <c r="F21" s="463"/>
      <c r="G21" s="463"/>
      <c r="H21" s="463"/>
      <c r="I21" s="463"/>
      <c r="J21" s="463"/>
      <c r="K21" s="463"/>
      <c r="L21" s="463"/>
      <c r="M21" s="464"/>
      <c r="N21" s="463"/>
      <c r="O21" s="463"/>
      <c r="P21" s="463"/>
      <c r="Q21" s="463"/>
      <c r="R21" s="463"/>
      <c r="S21" s="463"/>
      <c r="T21" s="463"/>
      <c r="U21" s="463"/>
      <c r="V21" s="463"/>
      <c r="W21" s="463"/>
      <c r="X21" s="463"/>
      <c r="Y21" s="292"/>
      <c r="Z21" s="292"/>
      <c r="AA21" s="292"/>
      <c r="AB21" s="292"/>
      <c r="AC21" s="292"/>
      <c r="AD21" s="292"/>
      <c r="AE21" s="292"/>
      <c r="AF21" s="292"/>
      <c r="AG21" s="292"/>
      <c r="AH21" s="292"/>
      <c r="AI21" s="292"/>
      <c r="AJ21" s="292"/>
      <c r="AK21" s="292"/>
      <c r="AL21" s="463"/>
      <c r="AM21" s="463"/>
      <c r="AN21" s="463"/>
      <c r="AO21" s="463"/>
      <c r="AP21" s="463"/>
      <c r="AQ21" s="463"/>
      <c r="AR21" s="463"/>
    </row>
    <row r="22" spans="3:44">
      <c r="C22" s="463"/>
      <c r="D22" s="463"/>
      <c r="E22" s="463"/>
      <c r="F22" s="463"/>
      <c r="G22" s="463"/>
      <c r="H22" s="463"/>
      <c r="I22" s="463"/>
      <c r="J22" s="463"/>
      <c r="K22" s="463"/>
      <c r="L22" s="463"/>
      <c r="M22" s="464"/>
      <c r="N22" s="463"/>
      <c r="O22" s="463"/>
      <c r="P22" s="463"/>
      <c r="Q22" s="463"/>
      <c r="R22" s="463"/>
      <c r="S22" s="463"/>
      <c r="T22" s="463"/>
      <c r="U22" s="463"/>
      <c r="V22" s="463"/>
      <c r="W22" s="463"/>
      <c r="X22" s="463"/>
      <c r="Y22" s="292"/>
      <c r="Z22" s="292"/>
      <c r="AA22" s="292"/>
      <c r="AB22" s="292"/>
      <c r="AC22" s="292"/>
      <c r="AD22" s="292"/>
      <c r="AE22" s="292"/>
      <c r="AF22" s="292"/>
      <c r="AG22" s="292"/>
      <c r="AH22" s="292"/>
      <c r="AI22" s="292"/>
      <c r="AJ22" s="292"/>
      <c r="AK22" s="292"/>
      <c r="AL22" s="463"/>
      <c r="AM22" s="463"/>
      <c r="AN22" s="463"/>
      <c r="AO22" s="463"/>
      <c r="AP22" s="463"/>
      <c r="AQ22" s="463"/>
      <c r="AR22" s="463"/>
    </row>
    <row r="23" spans="3:44">
      <c r="C23" s="463"/>
      <c r="D23" s="463"/>
      <c r="E23" s="463"/>
      <c r="F23" s="463"/>
      <c r="G23" s="463"/>
      <c r="H23" s="463"/>
      <c r="I23" s="463"/>
      <c r="J23" s="463"/>
      <c r="K23" s="463"/>
      <c r="L23" s="463"/>
      <c r="M23" s="464"/>
      <c r="N23" s="463"/>
      <c r="O23" s="463"/>
      <c r="P23" s="463"/>
      <c r="Q23" s="463"/>
      <c r="R23" s="463"/>
      <c r="S23" s="463"/>
      <c r="T23" s="463"/>
      <c r="U23" s="463"/>
      <c r="V23" s="463"/>
      <c r="W23" s="463"/>
      <c r="X23" s="463"/>
      <c r="Y23" s="292"/>
      <c r="Z23" s="292"/>
      <c r="AA23" s="292"/>
      <c r="AB23" s="292"/>
      <c r="AC23" s="292"/>
      <c r="AD23" s="292"/>
      <c r="AE23" s="292"/>
      <c r="AF23" s="292"/>
      <c r="AG23" s="292"/>
      <c r="AH23" s="292"/>
      <c r="AI23" s="292"/>
      <c r="AJ23" s="292"/>
      <c r="AK23" s="292"/>
      <c r="AL23" s="463"/>
      <c r="AM23" s="463"/>
      <c r="AN23" s="463"/>
      <c r="AO23" s="463"/>
      <c r="AP23" s="463"/>
      <c r="AQ23" s="463"/>
      <c r="AR23" s="463"/>
    </row>
    <row r="24" spans="3:44">
      <c r="C24" s="463"/>
      <c r="D24" s="463"/>
      <c r="E24" s="463"/>
      <c r="F24" s="463"/>
      <c r="G24" s="463"/>
      <c r="H24" s="463"/>
      <c r="I24" s="463"/>
      <c r="J24" s="463"/>
      <c r="K24" s="463"/>
      <c r="L24" s="463"/>
      <c r="M24" s="464"/>
      <c r="N24" s="463"/>
      <c r="O24" s="463"/>
      <c r="P24" s="463"/>
      <c r="Q24" s="463"/>
      <c r="R24" s="463"/>
      <c r="S24" s="463"/>
      <c r="T24" s="463"/>
      <c r="U24" s="463"/>
      <c r="V24" s="463"/>
      <c r="W24" s="463"/>
      <c r="X24" s="463"/>
      <c r="Y24" s="292"/>
      <c r="Z24" s="292"/>
      <c r="AA24" s="292"/>
      <c r="AB24" s="292"/>
      <c r="AC24" s="292"/>
      <c r="AD24" s="292"/>
      <c r="AE24" s="292"/>
      <c r="AF24" s="292"/>
      <c r="AG24" s="292"/>
      <c r="AH24" s="292"/>
      <c r="AI24" s="292"/>
      <c r="AJ24" s="292"/>
      <c r="AK24" s="292"/>
      <c r="AL24" s="463"/>
      <c r="AM24" s="463"/>
      <c r="AN24" s="463"/>
      <c r="AO24" s="463"/>
      <c r="AP24" s="463"/>
      <c r="AQ24" s="463"/>
      <c r="AR24" s="463"/>
    </row>
  </sheetData>
  <mergeCells count="29">
    <mergeCell ref="AN14:AN24"/>
    <mergeCell ref="AO14:AO24"/>
    <mergeCell ref="AP14:AP24"/>
    <mergeCell ref="AQ14:AQ24"/>
    <mergeCell ref="AR14:AR24"/>
    <mergeCell ref="AM14:AM24"/>
    <mergeCell ref="O14:O24"/>
    <mergeCell ref="P14:P24"/>
    <mergeCell ref="Q14:Q24"/>
    <mergeCell ref="R14:R24"/>
    <mergeCell ref="S14:S24"/>
    <mergeCell ref="T14:T24"/>
    <mergeCell ref="U14:U24"/>
    <mergeCell ref="V14:V24"/>
    <mergeCell ref="W14:W24"/>
    <mergeCell ref="X14:X24"/>
    <mergeCell ref="AL14:AL24"/>
    <mergeCell ref="N14:N24"/>
    <mergeCell ref="C14:C24"/>
    <mergeCell ref="D14:D24"/>
    <mergeCell ref="E14:E24"/>
    <mergeCell ref="F14:F24"/>
    <mergeCell ref="G14:G24"/>
    <mergeCell ref="H14:H24"/>
    <mergeCell ref="I14:I24"/>
    <mergeCell ref="J14:J24"/>
    <mergeCell ref="K14:K24"/>
    <mergeCell ref="L14:L24"/>
    <mergeCell ref="M14:M24"/>
  </mergeCells>
  <phoneticPr fontId="20" type="noConversion"/>
  <printOptions gridLines="1"/>
  <pageMargins left="0.21" right="0.2" top="1" bottom="1" header="0.5" footer="0.5"/>
  <pageSetup scale="49" orientation="landscape" horizontalDpi="4294967294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K60"/>
  <sheetViews>
    <sheetView workbookViewId="0">
      <selection activeCell="B1" sqref="B1"/>
    </sheetView>
  </sheetViews>
  <sheetFormatPr defaultColWidth="8.88671875" defaultRowHeight="13.2"/>
  <cols>
    <col min="2" max="2" width="50.109375" customWidth="1"/>
    <col min="3" max="3" width="9.6640625" customWidth="1"/>
    <col min="4" max="4" width="10" customWidth="1"/>
    <col min="5" max="5" width="11.44140625" customWidth="1"/>
    <col min="6" max="6" width="11.33203125" customWidth="1"/>
    <col min="7" max="7" width="14.33203125" customWidth="1"/>
    <col min="8" max="8" width="12.6640625" customWidth="1"/>
    <col min="9" max="9" width="12.44140625" customWidth="1"/>
    <col min="10" max="10" width="11" customWidth="1"/>
  </cols>
  <sheetData>
    <row r="1" spans="1:11" ht="17.399999999999999">
      <c r="B1" s="231" t="s">
        <v>191</v>
      </c>
      <c r="C1" s="8"/>
      <c r="D1" s="6"/>
      <c r="E1" s="9"/>
      <c r="F1" s="55"/>
      <c r="G1" s="140"/>
      <c r="H1" s="6"/>
      <c r="I1" s="6"/>
    </row>
    <row r="2" spans="1:11" s="53" customFormat="1" ht="12.75" customHeight="1">
      <c r="B2" s="140"/>
      <c r="C2" s="140"/>
      <c r="D2" s="140"/>
      <c r="E2" s="251" t="s">
        <v>14</v>
      </c>
      <c r="F2" s="252">
        <f>MIN(E5:E13)</f>
        <v>13.1</v>
      </c>
      <c r="G2" s="140" t="s">
        <v>15</v>
      </c>
      <c r="H2" s="140"/>
      <c r="I2" s="140"/>
    </row>
    <row r="3" spans="1:11">
      <c r="B3" s="134"/>
      <c r="C3" s="11"/>
      <c r="D3" s="12"/>
      <c r="E3" s="125" t="s">
        <v>62</v>
      </c>
      <c r="F3" s="252">
        <f>MAX(E6:E13)</f>
        <v>18.43</v>
      </c>
      <c r="G3" s="140" t="s">
        <v>15</v>
      </c>
      <c r="H3" s="6"/>
    </row>
    <row r="4" spans="1:11" ht="27" customHeight="1">
      <c r="B4" s="10"/>
      <c r="C4" s="34" t="s">
        <v>27</v>
      </c>
      <c r="D4" s="34" t="s">
        <v>28</v>
      </c>
      <c r="E4" s="34" t="s">
        <v>31</v>
      </c>
      <c r="F4" s="31" t="s">
        <v>8</v>
      </c>
      <c r="G4" s="5" t="s">
        <v>23</v>
      </c>
      <c r="H4" s="270"/>
      <c r="I4" s="270"/>
      <c r="J4" s="271"/>
      <c r="K4" s="5"/>
    </row>
    <row r="5" spans="1:11" ht="21">
      <c r="A5" s="327">
        <v>101</v>
      </c>
      <c r="B5" s="322" t="s">
        <v>149</v>
      </c>
      <c r="C5" s="379">
        <v>14.83</v>
      </c>
      <c r="D5" s="379">
        <v>14.13</v>
      </c>
      <c r="E5" s="370">
        <f>MIN(C5:D5)</f>
        <v>14.13</v>
      </c>
      <c r="F5" s="319">
        <f>IF(E5&gt;=30,2.5,(-$E$16*E5+$E$17))</f>
        <v>40.337711069418361</v>
      </c>
      <c r="G5" s="5">
        <f>RANK(F5,$F$5:$F$112)</f>
        <v>2</v>
      </c>
      <c r="H5" s="272"/>
      <c r="I5" s="273"/>
      <c r="J5" s="274"/>
      <c r="K5" s="5"/>
    </row>
    <row r="6" spans="1:11" ht="23.4">
      <c r="A6" s="327">
        <v>102</v>
      </c>
      <c r="B6" s="323" t="s">
        <v>151</v>
      </c>
      <c r="C6" s="379" t="s">
        <v>154</v>
      </c>
      <c r="D6" s="379"/>
      <c r="E6" s="370"/>
      <c r="F6" s="319"/>
      <c r="G6" s="5">
        <f t="shared" ref="G6:G13" si="0">RANK(F6,$F$5:$F$112)</f>
        <v>6</v>
      </c>
      <c r="H6" s="272"/>
      <c r="I6" s="273"/>
      <c r="J6" s="274"/>
      <c r="K6" s="5"/>
    </row>
    <row r="7" spans="1:11" ht="23.4">
      <c r="A7" s="327">
        <v>103</v>
      </c>
      <c r="B7" s="323" t="s">
        <v>147</v>
      </c>
      <c r="C7" s="379">
        <v>15.7</v>
      </c>
      <c r="D7" s="379">
        <v>13.1</v>
      </c>
      <c r="E7" s="370">
        <f t="shared" ref="E7:E12" si="1">MIN(C7:D7)</f>
        <v>13.1</v>
      </c>
      <c r="F7" s="319">
        <f t="shared" ref="F7:F12" si="2">IF(E7&gt;=30,2.5,(-$E$16*E7+$E$17))</f>
        <v>50</v>
      </c>
      <c r="G7" s="5">
        <f t="shared" si="0"/>
        <v>1</v>
      </c>
      <c r="H7" s="272"/>
      <c r="I7" s="273"/>
      <c r="J7" s="274"/>
      <c r="K7" s="5"/>
    </row>
    <row r="8" spans="1:11" ht="23.4">
      <c r="A8" s="327">
        <v>104</v>
      </c>
      <c r="B8" s="323" t="s">
        <v>148</v>
      </c>
      <c r="C8" s="379">
        <v>16.11</v>
      </c>
      <c r="D8" s="379">
        <v>16.72</v>
      </c>
      <c r="E8" s="370">
        <f t="shared" si="1"/>
        <v>16.11</v>
      </c>
      <c r="F8" s="319">
        <f t="shared" si="2"/>
        <v>21.763602251407121</v>
      </c>
      <c r="G8" s="5">
        <f t="shared" si="0"/>
        <v>5</v>
      </c>
      <c r="H8" s="272"/>
      <c r="I8" s="275"/>
      <c r="J8" s="274"/>
      <c r="K8" s="5"/>
    </row>
    <row r="9" spans="1:11" ht="23.4">
      <c r="A9" s="327">
        <v>106</v>
      </c>
      <c r="B9" s="323" t="s">
        <v>152</v>
      </c>
      <c r="C9" s="379">
        <v>16.36</v>
      </c>
      <c r="D9" s="379">
        <v>15.54</v>
      </c>
      <c r="E9" s="370">
        <f t="shared" si="1"/>
        <v>15.54</v>
      </c>
      <c r="F9" s="319">
        <f t="shared" si="2"/>
        <v>27.110694183864922</v>
      </c>
      <c r="G9" s="5">
        <f t="shared" si="0"/>
        <v>4</v>
      </c>
      <c r="H9" s="272"/>
      <c r="I9" s="273"/>
      <c r="J9" s="274"/>
      <c r="K9" s="5"/>
    </row>
    <row r="10" spans="1:11" ht="46.8">
      <c r="A10" s="327">
        <v>107</v>
      </c>
      <c r="B10" s="323" t="s">
        <v>153</v>
      </c>
      <c r="C10" s="379">
        <v>15.08</v>
      </c>
      <c r="D10" s="379">
        <v>15.2</v>
      </c>
      <c r="E10" s="370">
        <f t="shared" si="1"/>
        <v>15.08</v>
      </c>
      <c r="F10" s="319">
        <f t="shared" si="2"/>
        <v>31.425891181988732</v>
      </c>
      <c r="G10" s="5">
        <f t="shared" si="0"/>
        <v>3</v>
      </c>
      <c r="H10" s="272"/>
      <c r="I10" s="273"/>
      <c r="J10" s="274"/>
      <c r="K10" s="5"/>
    </row>
    <row r="11" spans="1:11" ht="23.4">
      <c r="A11" s="327">
        <v>108</v>
      </c>
      <c r="B11" s="323" t="s">
        <v>150</v>
      </c>
      <c r="C11" s="379"/>
      <c r="D11" s="379"/>
      <c r="E11" s="370"/>
      <c r="F11" s="319"/>
      <c r="G11" s="5">
        <f t="shared" si="0"/>
        <v>6</v>
      </c>
      <c r="H11" s="272"/>
      <c r="I11" s="273"/>
      <c r="J11" s="274"/>
      <c r="K11" s="5"/>
    </row>
    <row r="12" spans="1:11" ht="23.4">
      <c r="A12" s="327">
        <v>111</v>
      </c>
      <c r="B12" s="323" t="s">
        <v>182</v>
      </c>
      <c r="C12" s="379" t="s">
        <v>202</v>
      </c>
      <c r="D12" s="379">
        <v>18.43</v>
      </c>
      <c r="E12" s="370">
        <f t="shared" si="1"/>
        <v>18.43</v>
      </c>
      <c r="F12" s="319">
        <f t="shared" si="2"/>
        <v>0</v>
      </c>
      <c r="G12" s="5">
        <f t="shared" si="0"/>
        <v>6</v>
      </c>
      <c r="H12" s="335"/>
      <c r="I12" s="336"/>
      <c r="J12" s="274"/>
      <c r="K12" s="5"/>
    </row>
    <row r="13" spans="1:11" ht="46.8">
      <c r="A13" s="327">
        <v>112</v>
      </c>
      <c r="B13" s="323" t="s">
        <v>183</v>
      </c>
      <c r="C13" s="379" t="s">
        <v>154</v>
      </c>
      <c r="D13" s="357"/>
      <c r="E13" s="358"/>
      <c r="F13" s="359"/>
      <c r="G13" s="5">
        <f t="shared" si="0"/>
        <v>6</v>
      </c>
      <c r="H13" s="272"/>
      <c r="I13" s="273"/>
      <c r="J13" s="274"/>
      <c r="K13" s="5"/>
    </row>
    <row r="14" spans="1:11">
      <c r="B14" s="23"/>
      <c r="C14" s="46"/>
      <c r="D14" s="101"/>
      <c r="E14" s="46"/>
      <c r="F14" s="17"/>
      <c r="G14" s="17"/>
      <c r="H14" s="60"/>
      <c r="I14" s="49"/>
    </row>
    <row r="15" spans="1:11">
      <c r="B15" s="23"/>
      <c r="C15" s="46"/>
      <c r="D15" s="147" t="s">
        <v>101</v>
      </c>
      <c r="E15" s="46"/>
      <c r="F15" s="17"/>
      <c r="G15" s="17"/>
      <c r="H15" s="17"/>
      <c r="I15" s="3"/>
    </row>
    <row r="16" spans="1:11">
      <c r="B16" s="23"/>
      <c r="C16" s="46"/>
      <c r="D16" s="184" t="s">
        <v>98</v>
      </c>
      <c r="E16" s="182">
        <f>50/(F3-F2)</f>
        <v>9.3808630393996246</v>
      </c>
      <c r="F16" s="17"/>
      <c r="G16" s="17"/>
      <c r="H16" s="17"/>
      <c r="I16" s="3"/>
    </row>
    <row r="17" spans="2:9">
      <c r="B17" s="23"/>
      <c r="C17" s="46"/>
      <c r="D17" s="184" t="s">
        <v>99</v>
      </c>
      <c r="E17" s="183">
        <f>E16*F3</f>
        <v>172.88930581613508</v>
      </c>
      <c r="F17" s="17"/>
      <c r="G17" s="17"/>
      <c r="H17" s="17"/>
      <c r="I17" s="3"/>
    </row>
    <row r="18" spans="2:9">
      <c r="B18" s="23"/>
      <c r="C18" s="102"/>
      <c r="D18" s="147"/>
      <c r="E18" s="46"/>
      <c r="F18" s="17"/>
      <c r="G18" s="17"/>
      <c r="H18" s="17"/>
      <c r="I18" s="3"/>
    </row>
    <row r="19" spans="2:9">
      <c r="B19" s="23"/>
      <c r="C19" s="46"/>
      <c r="D19" s="46"/>
      <c r="E19" s="46"/>
      <c r="F19" s="17"/>
      <c r="G19" s="17"/>
      <c r="H19" s="17"/>
      <c r="I19" s="3"/>
    </row>
    <row r="20" spans="2:9">
      <c r="B20" s="23"/>
      <c r="C20" s="46"/>
      <c r="D20" s="46"/>
      <c r="E20" s="46"/>
      <c r="F20" s="17"/>
      <c r="G20" s="17"/>
      <c r="H20" s="17"/>
      <c r="I20" s="3"/>
    </row>
    <row r="21" spans="2:9">
      <c r="B21" s="12"/>
      <c r="C21" s="46"/>
      <c r="D21" s="46"/>
      <c r="E21" s="46"/>
      <c r="F21" s="17"/>
      <c r="G21" s="17"/>
      <c r="H21" s="17"/>
      <c r="I21" s="6"/>
    </row>
    <row r="22" spans="2:9">
      <c r="B22" s="12"/>
      <c r="C22" s="46"/>
      <c r="D22" s="46"/>
      <c r="E22" s="46"/>
      <c r="F22" s="17"/>
      <c r="G22" s="17"/>
      <c r="H22" s="17"/>
      <c r="I22" s="6"/>
    </row>
    <row r="23" spans="2:9">
      <c r="B23" s="12"/>
      <c r="C23" s="46"/>
      <c r="D23" s="46"/>
      <c r="E23" s="46"/>
      <c r="F23" s="17"/>
      <c r="G23" s="17"/>
      <c r="H23" s="17"/>
      <c r="I23" s="6"/>
    </row>
    <row r="24" spans="2:9">
      <c r="B24" s="41"/>
      <c r="C24" s="12"/>
      <c r="D24" s="12"/>
      <c r="E24" s="12"/>
      <c r="F24" s="6"/>
      <c r="G24" s="6"/>
      <c r="H24" s="6"/>
      <c r="I24" s="6"/>
    </row>
    <row r="25" spans="2:9">
      <c r="C25" s="4"/>
      <c r="D25" s="4"/>
      <c r="E25" s="4"/>
    </row>
    <row r="26" spans="2:9">
      <c r="C26" s="4"/>
      <c r="D26" s="4"/>
      <c r="E26" s="4"/>
    </row>
    <row r="27" spans="2:9">
      <c r="C27" s="4"/>
      <c r="D27" s="4"/>
      <c r="E27" s="4"/>
    </row>
    <row r="28" spans="2:9">
      <c r="C28" s="4"/>
      <c r="D28" s="4"/>
      <c r="E28" s="4"/>
    </row>
    <row r="29" spans="2:9">
      <c r="C29" s="4"/>
      <c r="D29" s="4"/>
      <c r="E29" s="4"/>
    </row>
    <row r="30" spans="2:9">
      <c r="C30" s="4"/>
      <c r="D30" s="4"/>
      <c r="E30" s="4"/>
    </row>
    <row r="31" spans="2:9">
      <c r="C31" s="4"/>
      <c r="D31" s="4"/>
      <c r="E31" s="4"/>
    </row>
    <row r="32" spans="2:9">
      <c r="C32" s="4"/>
      <c r="D32" s="4"/>
      <c r="E32" s="4"/>
    </row>
    <row r="33" spans="3:5">
      <c r="C33" s="4"/>
      <c r="D33" s="4"/>
      <c r="E33" s="4"/>
    </row>
    <row r="34" spans="3:5">
      <c r="C34" s="4"/>
      <c r="D34" s="4"/>
      <c r="E34" s="4"/>
    </row>
    <row r="35" spans="3:5">
      <c r="C35" s="4"/>
      <c r="D35" s="4"/>
      <c r="E35" s="4"/>
    </row>
    <row r="36" spans="3:5">
      <c r="C36" s="4"/>
      <c r="D36" s="4"/>
      <c r="E36" s="4"/>
    </row>
    <row r="37" spans="3:5">
      <c r="C37" s="4"/>
      <c r="D37" s="4"/>
      <c r="E37" s="4"/>
    </row>
    <row r="38" spans="3:5">
      <c r="C38" s="4"/>
      <c r="D38" s="4"/>
      <c r="E38" s="4"/>
    </row>
    <row r="39" spans="3:5">
      <c r="C39" s="4"/>
      <c r="D39" s="4"/>
      <c r="E39" s="4"/>
    </row>
    <row r="40" spans="3:5">
      <c r="C40" s="4"/>
      <c r="D40" s="4"/>
      <c r="E40" s="4"/>
    </row>
    <row r="41" spans="3:5">
      <c r="C41" s="4"/>
      <c r="D41" s="4"/>
      <c r="E41" s="4"/>
    </row>
    <row r="42" spans="3:5">
      <c r="C42" s="4"/>
      <c r="D42" s="4"/>
      <c r="E42" s="4"/>
    </row>
    <row r="43" spans="3:5">
      <c r="C43" s="4"/>
      <c r="D43" s="4"/>
      <c r="E43" s="4"/>
    </row>
    <row r="44" spans="3:5">
      <c r="C44" s="4"/>
      <c r="D44" s="4"/>
      <c r="E44" s="4"/>
    </row>
    <row r="45" spans="3:5">
      <c r="C45" s="4"/>
      <c r="D45" s="4"/>
      <c r="E45" s="4"/>
    </row>
    <row r="46" spans="3:5">
      <c r="C46" s="4"/>
      <c r="D46" s="4"/>
      <c r="E46" s="4"/>
    </row>
    <row r="47" spans="3:5">
      <c r="C47" s="4"/>
      <c r="D47" s="4"/>
      <c r="E47" s="4"/>
    </row>
    <row r="48" spans="3:5">
      <c r="C48" s="4"/>
      <c r="D48" s="4"/>
      <c r="E48" s="4"/>
    </row>
    <row r="49" spans="3:5">
      <c r="C49" s="4"/>
      <c r="D49" s="4"/>
      <c r="E49" s="4"/>
    </row>
    <row r="50" spans="3:5">
      <c r="C50" s="4"/>
      <c r="D50" s="4"/>
      <c r="E50" s="4"/>
    </row>
    <row r="51" spans="3:5">
      <c r="C51" s="4"/>
      <c r="D51" s="4"/>
      <c r="E51" s="4"/>
    </row>
    <row r="52" spans="3:5">
      <c r="C52" s="4"/>
      <c r="D52" s="4"/>
      <c r="E52" s="4"/>
    </row>
    <row r="53" spans="3:5">
      <c r="C53" s="4"/>
      <c r="D53" s="4"/>
      <c r="E53" s="4"/>
    </row>
    <row r="54" spans="3:5">
      <c r="C54" s="4"/>
      <c r="D54" s="4"/>
      <c r="E54" s="4"/>
    </row>
    <row r="55" spans="3:5">
      <c r="C55" s="4"/>
      <c r="D55" s="4"/>
      <c r="E55" s="4"/>
    </row>
    <row r="56" spans="3:5">
      <c r="C56" s="4"/>
      <c r="D56" s="4"/>
      <c r="E56" s="4"/>
    </row>
    <row r="57" spans="3:5">
      <c r="C57" s="4"/>
      <c r="D57" s="4"/>
      <c r="E57" s="4"/>
    </row>
    <row r="58" spans="3:5">
      <c r="C58" s="4"/>
      <c r="D58" s="4"/>
      <c r="E58" s="4"/>
    </row>
    <row r="59" spans="3:5">
      <c r="C59" s="4"/>
      <c r="D59" s="4"/>
      <c r="E59" s="4"/>
    </row>
    <row r="60" spans="3:5">
      <c r="C60" s="4"/>
      <c r="D60" s="4"/>
      <c r="E60" s="4"/>
    </row>
  </sheetData>
  <phoneticPr fontId="20" type="noConversion"/>
  <printOptions gridLines="1"/>
  <pageMargins left="0.75" right="0.75" top="0.5" bottom="0.5" header="0.5" footer="0.5"/>
  <pageSetup scale="87" orientation="landscape" horizontalDpi="4294967294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Q21"/>
  <sheetViews>
    <sheetView zoomScaleNormal="100" zoomScalePageLayoutView="125" workbookViewId="0">
      <selection activeCell="A2" sqref="A2"/>
    </sheetView>
  </sheetViews>
  <sheetFormatPr defaultColWidth="20.21875" defaultRowHeight="13.2"/>
  <cols>
    <col min="2" max="2" width="13.77734375" customWidth="1"/>
    <col min="3" max="3" width="10.77734375" customWidth="1"/>
    <col min="4" max="4" width="8.5546875" customWidth="1"/>
    <col min="5" max="5" width="12.5546875" customWidth="1"/>
    <col min="6" max="6" width="12.77734375" customWidth="1"/>
    <col min="7" max="7" width="9.88671875" customWidth="1"/>
    <col min="8" max="8" width="15.21875" customWidth="1"/>
    <col min="9" max="9" width="2.33203125" customWidth="1"/>
    <col min="10" max="10" width="12" customWidth="1"/>
    <col min="11" max="11" width="11.77734375" customWidth="1"/>
    <col min="12" max="12" width="8.6640625" style="3" customWidth="1"/>
    <col min="13" max="13" width="1" customWidth="1"/>
    <col min="14" max="14" width="8.21875" customWidth="1"/>
    <col min="15" max="15" width="6.44140625" customWidth="1"/>
    <col min="16" max="16" width="8.33203125" style="3" customWidth="1"/>
    <col min="17" max="17" width="9.6640625" customWidth="1"/>
  </cols>
  <sheetData>
    <row r="1" spans="1:17">
      <c r="A1" t="s">
        <v>155</v>
      </c>
      <c r="J1" s="3"/>
      <c r="K1" s="3"/>
      <c r="N1" s="3"/>
      <c r="O1" s="3"/>
    </row>
    <row r="2" spans="1:17">
      <c r="A2" s="185" t="s">
        <v>224</v>
      </c>
      <c r="J2" s="3"/>
      <c r="K2" s="3"/>
      <c r="N2" s="3"/>
      <c r="O2" s="3"/>
    </row>
    <row r="3" spans="1:17" ht="39.6">
      <c r="A3" s="105" t="s">
        <v>156</v>
      </c>
      <c r="B3" s="301" t="s">
        <v>157</v>
      </c>
      <c r="C3" s="301" t="s">
        <v>72</v>
      </c>
      <c r="D3" s="301" t="s">
        <v>158</v>
      </c>
      <c r="E3" s="301" t="s">
        <v>159</v>
      </c>
      <c r="F3" s="301" t="s">
        <v>160</v>
      </c>
      <c r="G3" s="301" t="s">
        <v>161</v>
      </c>
      <c r="H3" s="301" t="s">
        <v>73</v>
      </c>
      <c r="I3" s="301"/>
      <c r="J3" s="302" t="s">
        <v>162</v>
      </c>
      <c r="K3" s="302" t="s">
        <v>74</v>
      </c>
      <c r="L3" s="302" t="s">
        <v>169</v>
      </c>
      <c r="M3" s="301"/>
      <c r="N3" s="302" t="s">
        <v>75</v>
      </c>
      <c r="O3" s="302" t="s">
        <v>81</v>
      </c>
      <c r="P3" s="302" t="s">
        <v>67</v>
      </c>
      <c r="Q3" s="237"/>
    </row>
    <row r="4" spans="1:17">
      <c r="A4" t="s">
        <v>205</v>
      </c>
      <c r="B4" t="s">
        <v>206</v>
      </c>
      <c r="C4" t="s">
        <v>206</v>
      </c>
      <c r="D4" t="s">
        <v>206</v>
      </c>
      <c r="E4" t="s">
        <v>206</v>
      </c>
      <c r="F4" t="s">
        <v>206</v>
      </c>
      <c r="G4" t="s">
        <v>207</v>
      </c>
      <c r="H4" t="s">
        <v>207</v>
      </c>
      <c r="J4">
        <v>205.78</v>
      </c>
      <c r="K4">
        <v>20</v>
      </c>
      <c r="L4">
        <v>7</v>
      </c>
      <c r="N4">
        <v>327.60000000000002</v>
      </c>
      <c r="O4">
        <v>42.08</v>
      </c>
      <c r="P4">
        <v>2</v>
      </c>
      <c r="Q4">
        <f>K4+O4</f>
        <v>62.08</v>
      </c>
    </row>
    <row r="5" spans="1:17">
      <c r="A5" t="s">
        <v>208</v>
      </c>
      <c r="B5" t="s">
        <v>206</v>
      </c>
      <c r="C5" t="s">
        <v>206</v>
      </c>
      <c r="D5" t="s">
        <v>206</v>
      </c>
      <c r="E5" t="s">
        <v>206</v>
      </c>
      <c r="F5" t="s">
        <v>206</v>
      </c>
      <c r="G5" t="s">
        <v>206</v>
      </c>
      <c r="H5" t="s">
        <v>206</v>
      </c>
      <c r="J5">
        <v>200</v>
      </c>
      <c r="K5">
        <v>264.29000000000002</v>
      </c>
      <c r="L5">
        <v>4</v>
      </c>
      <c r="N5">
        <v>420.67</v>
      </c>
      <c r="O5">
        <v>9.4</v>
      </c>
      <c r="P5">
        <v>5</v>
      </c>
      <c r="Q5">
        <f t="shared" ref="Q5:Q11" si="0">K5+O5</f>
        <v>273.69</v>
      </c>
    </row>
    <row r="6" spans="1:17" s="277" customFormat="1">
      <c r="A6" t="s">
        <v>209</v>
      </c>
      <c r="B6" t="s">
        <v>206</v>
      </c>
      <c r="C6" t="s">
        <v>206</v>
      </c>
      <c r="D6" t="s">
        <v>206</v>
      </c>
      <c r="E6" t="s">
        <v>206</v>
      </c>
      <c r="F6" t="s">
        <v>206</v>
      </c>
      <c r="G6" t="s">
        <v>207</v>
      </c>
      <c r="H6" t="s">
        <v>207</v>
      </c>
      <c r="I6"/>
      <c r="J6">
        <v>205.13</v>
      </c>
      <c r="K6">
        <v>20</v>
      </c>
      <c r="L6">
        <v>6</v>
      </c>
      <c r="M6"/>
      <c r="N6">
        <v>336.6</v>
      </c>
      <c r="O6">
        <v>38.92</v>
      </c>
      <c r="P6">
        <v>3</v>
      </c>
      <c r="Q6">
        <f t="shared" si="0"/>
        <v>58.92</v>
      </c>
    </row>
    <row r="7" spans="1:17">
      <c r="A7" t="s">
        <v>210</v>
      </c>
      <c r="B7" t="s">
        <v>206</v>
      </c>
      <c r="C7" t="s">
        <v>206</v>
      </c>
      <c r="D7" t="s">
        <v>206</v>
      </c>
      <c r="E7" t="s">
        <v>206</v>
      </c>
      <c r="F7" t="s">
        <v>206</v>
      </c>
      <c r="G7" t="s">
        <v>206</v>
      </c>
      <c r="H7" t="s">
        <v>206</v>
      </c>
      <c r="J7">
        <v>203.42</v>
      </c>
      <c r="K7">
        <v>276.5</v>
      </c>
      <c r="L7">
        <v>2</v>
      </c>
      <c r="N7">
        <v>305.04000000000002</v>
      </c>
      <c r="O7">
        <v>50</v>
      </c>
      <c r="P7">
        <v>1</v>
      </c>
      <c r="Q7">
        <f t="shared" si="0"/>
        <v>326.5</v>
      </c>
    </row>
    <row r="8" spans="1:17" s="277" customFormat="1">
      <c r="A8" t="s">
        <v>211</v>
      </c>
      <c r="B8" t="s">
        <v>212</v>
      </c>
      <c r="C8" t="s">
        <v>212</v>
      </c>
      <c r="D8" t="s">
        <v>212</v>
      </c>
      <c r="E8" t="s">
        <v>212</v>
      </c>
      <c r="F8" t="s">
        <v>212</v>
      </c>
      <c r="G8" t="s">
        <v>212</v>
      </c>
      <c r="H8" t="s">
        <v>212</v>
      </c>
      <c r="I8"/>
      <c r="J8" t="s">
        <v>212</v>
      </c>
      <c r="K8">
        <v>0</v>
      </c>
      <c r="L8" t="s">
        <v>212</v>
      </c>
      <c r="M8"/>
      <c r="N8" t="s">
        <v>212</v>
      </c>
      <c r="O8">
        <v>0</v>
      </c>
      <c r="P8" t="s">
        <v>212</v>
      </c>
      <c r="Q8">
        <v>0</v>
      </c>
    </row>
    <row r="9" spans="1:17">
      <c r="A9" t="s">
        <v>213</v>
      </c>
      <c r="B9" t="s">
        <v>206</v>
      </c>
      <c r="C9" t="s">
        <v>206</v>
      </c>
      <c r="D9" t="s">
        <v>206</v>
      </c>
      <c r="E9" t="s">
        <v>206</v>
      </c>
      <c r="F9" t="s">
        <v>206</v>
      </c>
      <c r="G9" t="s">
        <v>206</v>
      </c>
      <c r="H9" t="s">
        <v>206</v>
      </c>
      <c r="J9">
        <v>206.05</v>
      </c>
      <c r="K9">
        <v>285.89</v>
      </c>
      <c r="L9">
        <v>1</v>
      </c>
      <c r="N9">
        <v>425.21</v>
      </c>
      <c r="O9">
        <v>7.8</v>
      </c>
      <c r="P9">
        <v>6</v>
      </c>
      <c r="Q9">
        <f t="shared" si="0"/>
        <v>293.69</v>
      </c>
    </row>
    <row r="10" spans="1:17">
      <c r="A10" t="s">
        <v>214</v>
      </c>
      <c r="B10" t="s">
        <v>206</v>
      </c>
      <c r="C10" t="s">
        <v>206</v>
      </c>
      <c r="D10" t="s">
        <v>206</v>
      </c>
      <c r="E10" t="s">
        <v>206</v>
      </c>
      <c r="F10" t="s">
        <v>206</v>
      </c>
      <c r="G10" t="s">
        <v>207</v>
      </c>
      <c r="H10" t="s">
        <v>207</v>
      </c>
      <c r="J10">
        <v>193.9</v>
      </c>
      <c r="K10">
        <v>20</v>
      </c>
      <c r="L10">
        <v>5</v>
      </c>
      <c r="N10">
        <v>440.31</v>
      </c>
      <c r="O10">
        <v>2.5</v>
      </c>
      <c r="P10">
        <v>7</v>
      </c>
      <c r="Q10">
        <f t="shared" si="0"/>
        <v>22.5</v>
      </c>
    </row>
    <row r="11" spans="1:17">
      <c r="A11" t="s">
        <v>215</v>
      </c>
      <c r="B11" t="s">
        <v>206</v>
      </c>
      <c r="C11" t="s">
        <v>206</v>
      </c>
      <c r="D11" t="s">
        <v>206</v>
      </c>
      <c r="E11" t="s">
        <v>206</v>
      </c>
      <c r="F11" t="s">
        <v>206</v>
      </c>
      <c r="G11" t="s">
        <v>206</v>
      </c>
      <c r="H11" t="s">
        <v>206</v>
      </c>
      <c r="J11">
        <v>202.91</v>
      </c>
      <c r="K11">
        <v>274.68</v>
      </c>
      <c r="L11">
        <v>3</v>
      </c>
      <c r="N11">
        <v>407.52</v>
      </c>
      <c r="O11">
        <v>14.01</v>
      </c>
      <c r="P11">
        <v>4</v>
      </c>
      <c r="Q11">
        <f t="shared" si="0"/>
        <v>288.69</v>
      </c>
    </row>
    <row r="12" spans="1:17">
      <c r="A12" t="s">
        <v>216</v>
      </c>
      <c r="B12" t="s">
        <v>212</v>
      </c>
      <c r="C12" t="s">
        <v>212</v>
      </c>
      <c r="D12" t="s">
        <v>212</v>
      </c>
      <c r="E12" t="s">
        <v>212</v>
      </c>
      <c r="F12" t="s">
        <v>212</v>
      </c>
      <c r="G12" t="s">
        <v>212</v>
      </c>
      <c r="H12" t="s">
        <v>212</v>
      </c>
      <c r="J12" t="s">
        <v>212</v>
      </c>
      <c r="K12">
        <v>0</v>
      </c>
      <c r="L12" t="s">
        <v>212</v>
      </c>
      <c r="N12" t="s">
        <v>212</v>
      </c>
      <c r="O12">
        <v>0</v>
      </c>
      <c r="P12" t="s">
        <v>212</v>
      </c>
      <c r="Q12">
        <v>0</v>
      </c>
    </row>
    <row r="13" spans="1:17">
      <c r="L13"/>
      <c r="P13"/>
    </row>
    <row r="14" spans="1:17">
      <c r="A14" t="s">
        <v>163</v>
      </c>
      <c r="B14" t="s">
        <v>217</v>
      </c>
      <c r="C14">
        <v>200</v>
      </c>
      <c r="L14"/>
      <c r="P14"/>
    </row>
    <row r="15" spans="1:17">
      <c r="A15" t="s">
        <v>164</v>
      </c>
      <c r="B15" t="s">
        <v>217</v>
      </c>
      <c r="C15">
        <v>206.05</v>
      </c>
      <c r="L15"/>
      <c r="P15"/>
    </row>
    <row r="16" spans="1:17">
      <c r="L16"/>
      <c r="P16"/>
    </row>
    <row r="17" spans="1:16">
      <c r="A17" t="s">
        <v>165</v>
      </c>
      <c r="B17" t="s">
        <v>218</v>
      </c>
      <c r="C17">
        <v>305.04000000000002</v>
      </c>
      <c r="L17"/>
      <c r="P17"/>
    </row>
    <row r="18" spans="1:16">
      <c r="A18" t="s">
        <v>166</v>
      </c>
      <c r="B18" t="s">
        <v>218</v>
      </c>
      <c r="C18">
        <v>440.31</v>
      </c>
      <c r="L18"/>
      <c r="P18"/>
    </row>
    <row r="19" spans="1:16">
      <c r="A19" t="s">
        <v>167</v>
      </c>
      <c r="J19" s="3"/>
      <c r="K19" s="3"/>
      <c r="N19" s="3"/>
      <c r="O19" s="3"/>
    </row>
    <row r="20" spans="1:16">
      <c r="A20" t="s">
        <v>168</v>
      </c>
      <c r="J20" s="3"/>
      <c r="K20" s="3"/>
      <c r="N20" s="3"/>
      <c r="O20" s="3"/>
    </row>
    <row r="21" spans="1:16">
      <c r="A21" t="s">
        <v>76</v>
      </c>
      <c r="J21" s="3"/>
      <c r="K21" s="3"/>
      <c r="N21" s="3"/>
      <c r="O21" s="3"/>
    </row>
  </sheetData>
  <phoneticPr fontId="20" type="noConversion"/>
  <printOptions gridLines="1"/>
  <pageMargins left="0.25" right="0.25" top="1" bottom="1" header="0.5" footer="0.5"/>
  <pageSetup scale="61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Totals and Awards</vt:lpstr>
      <vt:lpstr>Paper</vt:lpstr>
      <vt:lpstr>Static</vt:lpstr>
      <vt:lpstr>MSRP</vt:lpstr>
      <vt:lpstr>Fuel Economy-Endurance  </vt:lpstr>
      <vt:lpstr>Noise</vt:lpstr>
      <vt:lpstr>Oral</vt:lpstr>
      <vt:lpstr>Acceleration+ Load</vt:lpstr>
      <vt:lpstr>Lab Emissions</vt:lpstr>
      <vt:lpstr>In Service Emissions</vt:lpstr>
      <vt:lpstr>Cold Start</vt:lpstr>
      <vt:lpstr>Drawbar Pull</vt:lpstr>
      <vt:lpstr>Penalties and Bonuses</vt:lpstr>
      <vt:lpstr>Vehicle Weights</vt:lpstr>
      <vt:lpstr>'Acceleration+ Load'!Print_Area</vt:lpstr>
      <vt:lpstr>'Totals and Awards'!Print_Area</vt:lpstr>
      <vt:lpstr>'Vehicle Weights'!Print_Area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Meldrum</dc:creator>
  <cp:lastModifiedBy>jmeldrum</cp:lastModifiedBy>
  <cp:lastPrinted>2018-03-10T11:26:39Z</cp:lastPrinted>
  <dcterms:created xsi:type="dcterms:W3CDTF">2000-03-12T02:15:03Z</dcterms:created>
  <dcterms:modified xsi:type="dcterms:W3CDTF">2019-03-11T17:44:41Z</dcterms:modified>
</cp:coreProperties>
</file>