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5730" yWindow="795" windowWidth="19245" windowHeight="4665" tabRatio="775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-Endurance 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Emissions'!#REF!</definedName>
    <definedName name="Bmin">'Lab Emissions'!#REF!</definedName>
    <definedName name="Emax">'Lab Emissions'!#REF!</definedName>
    <definedName name="Emin">'Lab Emissions'!#REF!</definedName>
    <definedName name="_xlnm.Print_Area" localSheetId="8">Acceleration!$A$1:$I$17</definedName>
    <definedName name="_xlnm.Print_Area" localSheetId="5">'Fuel Economy-Endurance  '!$A$9:$I$22</definedName>
    <definedName name="_xlnm.Print_Area" localSheetId="12">'Objective Handling'!$A$1:$H$18</definedName>
    <definedName name="_xlnm.Print_Area" localSheetId="0">'Totals and Awards'!$B$1:$P$53</definedName>
    <definedName name="_xlnm.Print_Area" localSheetId="14">'Vehicle Weights'!$A$1:$I$16</definedName>
  </definedNames>
  <calcPr calcId="125725"/>
</workbook>
</file>

<file path=xl/calcChain.xml><?xml version="1.0" encoding="utf-8"?>
<calcChain xmlns="http://schemas.openxmlformats.org/spreadsheetml/2006/main">
  <c r="C50" i="13"/>
  <c r="C48"/>
  <c r="C47"/>
  <c r="C46"/>
  <c r="C45"/>
  <c r="C42"/>
  <c r="C40"/>
  <c r="C39"/>
  <c r="C38"/>
  <c r="C37"/>
  <c r="C41"/>
  <c r="C43"/>
  <c r="I7" i="15"/>
  <c r="I7" i="11"/>
  <c r="I8"/>
  <c r="I9"/>
  <c r="I10"/>
  <c r="I14"/>
  <c r="I15"/>
  <c r="I16"/>
  <c r="I18"/>
  <c r="I6"/>
  <c r="K8" i="7"/>
  <c r="J8"/>
  <c r="K5" s="1"/>
  <c r="J5"/>
  <c r="BC5" i="5"/>
  <c r="BC6"/>
  <c r="BC7"/>
  <c r="BC8"/>
  <c r="BC9"/>
  <c r="BC10"/>
  <c r="BC11"/>
  <c r="BC12"/>
  <c r="BC13"/>
  <c r="BC14"/>
  <c r="BC15"/>
  <c r="BC16"/>
  <c r="BC4"/>
  <c r="J3" i="7" l="1"/>
  <c r="J2"/>
  <c r="R5" i="14" l="1"/>
  <c r="R6"/>
  <c r="R7"/>
  <c r="R8"/>
  <c r="R10"/>
  <c r="R12"/>
  <c r="R13"/>
  <c r="R14"/>
  <c r="R15"/>
  <c r="R16"/>
  <c r="R4"/>
  <c r="A52" i="1" l="1"/>
  <c r="A53" s="1"/>
  <c r="A54" s="1"/>
  <c r="A55" s="1"/>
  <c r="A30"/>
  <c r="A3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D57" l="1"/>
  <c r="H57"/>
  <c r="C57"/>
  <c r="P7"/>
  <c r="P9"/>
  <c r="P13"/>
  <c r="P14"/>
  <c r="P16"/>
  <c r="P17"/>
  <c r="P18"/>
  <c r="P19"/>
  <c r="P20"/>
  <c r="P21"/>
  <c r="P22"/>
  <c r="P23"/>
  <c r="P24"/>
  <c r="P25"/>
  <c r="P26"/>
  <c r="P27"/>
  <c r="P28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51"/>
  <c r="P52"/>
  <c r="P53"/>
  <c r="P54"/>
  <c r="P55"/>
  <c r="G50"/>
  <c r="F50"/>
  <c r="E50"/>
  <c r="P50" s="1"/>
  <c r="D50"/>
  <c r="K49"/>
  <c r="J49"/>
  <c r="P49" s="1"/>
  <c r="I49"/>
  <c r="I57" s="1"/>
  <c r="I29"/>
  <c r="H29"/>
  <c r="G29"/>
  <c r="P29" s="1"/>
  <c r="F29"/>
  <c r="F57" s="1"/>
  <c r="E29"/>
  <c r="E15"/>
  <c r="P15" s="1"/>
  <c r="K12"/>
  <c r="J12"/>
  <c r="J57" s="1"/>
  <c r="I12"/>
  <c r="H12"/>
  <c r="P12" s="1"/>
  <c r="O11"/>
  <c r="P11" s="1"/>
  <c r="O10"/>
  <c r="N10"/>
  <c r="M10"/>
  <c r="L10"/>
  <c r="L57" s="1"/>
  <c r="N8"/>
  <c r="M8"/>
  <c r="L8"/>
  <c r="K8"/>
  <c r="P8" s="1"/>
  <c r="O6"/>
  <c r="P6" s="1"/>
  <c r="N6"/>
  <c r="N57" s="1"/>
  <c r="M6"/>
  <c r="M5"/>
  <c r="M57" s="1"/>
  <c r="L5"/>
  <c r="K5"/>
  <c r="K57" s="1"/>
  <c r="G5"/>
  <c r="G57" s="1"/>
  <c r="P10" l="1"/>
  <c r="O57"/>
  <c r="E57"/>
  <c r="O6" i="13" l="1"/>
  <c r="O7"/>
  <c r="O8"/>
  <c r="O9"/>
  <c r="O10"/>
  <c r="O11"/>
  <c r="O12"/>
  <c r="O13"/>
  <c r="O14"/>
  <c r="O15"/>
  <c r="O16"/>
  <c r="O4"/>
  <c r="N9"/>
  <c r="N10"/>
  <c r="N11"/>
  <c r="N15"/>
  <c r="L5"/>
  <c r="L6"/>
  <c r="L7"/>
  <c r="L8"/>
  <c r="L9"/>
  <c r="L10"/>
  <c r="L11"/>
  <c r="L12"/>
  <c r="L13"/>
  <c r="L14"/>
  <c r="L15"/>
  <c r="L16"/>
  <c r="L4"/>
  <c r="J9" l="1"/>
  <c r="J10"/>
  <c r="J11"/>
  <c r="J15"/>
  <c r="G5" l="1"/>
  <c r="G6"/>
  <c r="G7"/>
  <c r="G8"/>
  <c r="G9"/>
  <c r="G10"/>
  <c r="G11"/>
  <c r="G12"/>
  <c r="G13"/>
  <c r="G14"/>
  <c r="G15"/>
  <c r="G16"/>
  <c r="G4"/>
  <c r="I5"/>
  <c r="I6"/>
  <c r="I7"/>
  <c r="I8"/>
  <c r="I9"/>
  <c r="I10"/>
  <c r="I11"/>
  <c r="I12"/>
  <c r="I14"/>
  <c r="I16"/>
  <c r="I4"/>
  <c r="Q5" i="18"/>
  <c r="Q6"/>
  <c r="Q7"/>
  <c r="Q8"/>
  <c r="Q9"/>
  <c r="Q10"/>
  <c r="Q11"/>
  <c r="Q12"/>
  <c r="Q13"/>
  <c r="Q14"/>
  <c r="Q15"/>
  <c r="Q16"/>
  <c r="Q4"/>
  <c r="K5" i="13"/>
  <c r="K6"/>
  <c r="K7"/>
  <c r="K8"/>
  <c r="K9"/>
  <c r="K10"/>
  <c r="K11"/>
  <c r="K12"/>
  <c r="K13"/>
  <c r="K14"/>
  <c r="K15"/>
  <c r="K16"/>
  <c r="K4"/>
  <c r="E5"/>
  <c r="E6"/>
  <c r="E7"/>
  <c r="E8"/>
  <c r="E9"/>
  <c r="E10"/>
  <c r="E11"/>
  <c r="E12"/>
  <c r="E13"/>
  <c r="E14"/>
  <c r="E15"/>
  <c r="E16"/>
  <c r="E4"/>
  <c r="E33" l="1"/>
  <c r="F13" i="4"/>
  <c r="D5" i="13"/>
  <c r="D6"/>
  <c r="D7"/>
  <c r="D8"/>
  <c r="D9"/>
  <c r="D10"/>
  <c r="D11"/>
  <c r="D12"/>
  <c r="D13"/>
  <c r="D14"/>
  <c r="D15"/>
  <c r="D16"/>
  <c r="D4"/>
  <c r="M9"/>
  <c r="M10"/>
  <c r="M11"/>
  <c r="M13"/>
  <c r="F9"/>
  <c r="G26" s="1"/>
  <c r="F11"/>
  <c r="F12"/>
  <c r="F15"/>
  <c r="F16"/>
  <c r="S5" i="14"/>
  <c r="F5" i="13" s="1"/>
  <c r="S6" i="14"/>
  <c r="F6" i="13" s="1"/>
  <c r="S7" i="14"/>
  <c r="F7" i="13" s="1"/>
  <c r="S8" i="14"/>
  <c r="F8" i="13" s="1"/>
  <c r="S10" i="14"/>
  <c r="F10" i="13" s="1"/>
  <c r="G27" s="1"/>
  <c r="S12" i="14"/>
  <c r="S13"/>
  <c r="F13" i="13" s="1"/>
  <c r="S14" i="14"/>
  <c r="F14" i="13" s="1"/>
  <c r="S15" i="14"/>
  <c r="S16"/>
  <c r="C58" i="1"/>
  <c r="G28" i="13" l="1"/>
  <c r="G9" i="6"/>
  <c r="G8"/>
  <c r="D9"/>
  <c r="C19"/>
  <c r="F13" i="15" l="1"/>
  <c r="F12"/>
  <c r="F7"/>
  <c r="F6"/>
  <c r="E10" i="4"/>
  <c r="E12"/>
  <c r="E13"/>
  <c r="E14"/>
  <c r="E19"/>
  <c r="E20"/>
  <c r="E21"/>
  <c r="E22"/>
  <c r="E14" i="7" l="1"/>
  <c r="E15"/>
  <c r="E17"/>
  <c r="E8"/>
  <c r="E9"/>
  <c r="E13"/>
  <c r="E5"/>
  <c r="P5" i="13" l="1"/>
  <c r="P6"/>
  <c r="P7"/>
  <c r="P8"/>
  <c r="P9"/>
  <c r="P10"/>
  <c r="P11"/>
  <c r="P12"/>
  <c r="P13"/>
  <c r="P14"/>
  <c r="P4"/>
  <c r="J17" i="7" l="1"/>
  <c r="J15"/>
  <c r="J13"/>
  <c r="J9"/>
  <c r="J7"/>
  <c r="J6"/>
  <c r="K13" l="1"/>
  <c r="K15"/>
  <c r="K6"/>
  <c r="K7"/>
  <c r="K17"/>
  <c r="K9"/>
  <c r="E6"/>
  <c r="E7"/>
  <c r="F3" l="1"/>
  <c r="S4" i="14" l="1"/>
  <c r="T10" l="1"/>
  <c r="T7"/>
  <c r="T14"/>
  <c r="T6"/>
  <c r="T13"/>
  <c r="T15"/>
  <c r="T9"/>
  <c r="F4" i="13"/>
  <c r="T5" i="14"/>
  <c r="T12"/>
  <c r="T16"/>
  <c r="T8"/>
  <c r="T11"/>
  <c r="T4"/>
  <c r="F18" i="6" l="1"/>
  <c r="F19"/>
  <c r="F20" l="1"/>
  <c r="BD16" i="5"/>
  <c r="H16" i="13" s="1"/>
  <c r="BD15" i="5"/>
  <c r="H15" i="13" s="1"/>
  <c r="BD14" i="5"/>
  <c r="H14" i="13" s="1"/>
  <c r="BD13" i="5"/>
  <c r="H13" i="13" s="1"/>
  <c r="BD12" i="5"/>
  <c r="H12" i="13" s="1"/>
  <c r="BD11" i="5"/>
  <c r="H11" i="13" s="1"/>
  <c r="Q11" s="1"/>
  <c r="BD10" i="5"/>
  <c r="H10" i="13" s="1"/>
  <c r="Q10" s="1"/>
  <c r="BD9" i="5"/>
  <c r="H9" i="13" s="1"/>
  <c r="Q9" s="1"/>
  <c r="BD8" i="5"/>
  <c r="H8" i="13" s="1"/>
  <c r="BD7" i="5"/>
  <c r="H7" i="13" s="1"/>
  <c r="BD6" i="5"/>
  <c r="H6" i="13" s="1"/>
  <c r="BD5" i="5"/>
  <c r="H5" i="13" s="1"/>
  <c r="BD4" i="5"/>
  <c r="H4" i="13" s="1"/>
  <c r="F21" i="6" l="1"/>
  <c r="G17" s="1"/>
  <c r="BE4" i="5"/>
  <c r="BE10"/>
  <c r="BE5"/>
  <c r="BE11"/>
  <c r="BE6"/>
  <c r="BE12"/>
  <c r="BE8"/>
  <c r="BE14"/>
  <c r="BE13"/>
  <c r="BE15"/>
  <c r="BE7"/>
  <c r="BE9"/>
  <c r="BE16"/>
  <c r="G13" i="6" l="1"/>
  <c r="G15"/>
  <c r="D4" i="10"/>
  <c r="M4" i="13" s="1"/>
  <c r="N58" i="1" l="1"/>
  <c r="A6" l="1"/>
  <c r="A7" s="1"/>
  <c r="A8" s="1"/>
  <c r="A9" s="1"/>
  <c r="A10" s="1"/>
  <c r="D15" i="10"/>
  <c r="M15" i="13" s="1"/>
  <c r="G32" s="1"/>
  <c r="D7" i="10"/>
  <c r="M7" i="13" s="1"/>
  <c r="A11" i="1" l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O58"/>
  <c r="M58"/>
  <c r="F14" i="15"/>
  <c r="F15"/>
  <c r="F16"/>
  <c r="D5" i="10"/>
  <c r="M5" i="13" s="1"/>
  <c r="D6" i="10"/>
  <c r="M6" i="13" s="1"/>
  <c r="D8" i="10"/>
  <c r="M8" i="13" s="1"/>
  <c r="D9" i="10"/>
  <c r="D10"/>
  <c r="D11"/>
  <c r="D12"/>
  <c r="M12" i="13" s="1"/>
  <c r="D13" i="10"/>
  <c r="D14"/>
  <c r="M14" i="13" s="1"/>
  <c r="D16" i="10"/>
  <c r="M16" i="13" s="1"/>
  <c r="K5" i="12"/>
  <c r="O5" i="13" s="1"/>
  <c r="K6" i="12"/>
  <c r="K7"/>
  <c r="K8"/>
  <c r="K9"/>
  <c r="K10"/>
  <c r="K11"/>
  <c r="K12"/>
  <c r="K13"/>
  <c r="K14"/>
  <c r="K15"/>
  <c r="K16"/>
  <c r="C27" i="3"/>
  <c r="C26"/>
  <c r="G2" i="19"/>
  <c r="F5" i="15"/>
  <c r="F8"/>
  <c r="F9"/>
  <c r="F10"/>
  <c r="F11"/>
  <c r="F4"/>
  <c r="C27" i="6"/>
  <c r="P5" i="1"/>
  <c r="G1" i="19"/>
  <c r="K4" i="12"/>
  <c r="I58" i="1"/>
  <c r="E58"/>
  <c r="F58"/>
  <c r="G58"/>
  <c r="L58"/>
  <c r="K58"/>
  <c r="J58"/>
  <c r="D58"/>
  <c r="H58"/>
  <c r="J3" i="11" l="1"/>
  <c r="I12" i="15"/>
  <c r="I13"/>
  <c r="D17" i="6"/>
  <c r="D11"/>
  <c r="D7"/>
  <c r="D5"/>
  <c r="C24" i="3"/>
  <c r="C25" s="1"/>
  <c r="F17" s="1"/>
  <c r="M17" s="1"/>
  <c r="C21" i="19"/>
  <c r="K1"/>
  <c r="D27" i="6"/>
  <c r="I9" i="15"/>
  <c r="I5"/>
  <c r="I6"/>
  <c r="I8"/>
  <c r="I14"/>
  <c r="G2"/>
  <c r="I16"/>
  <c r="I10"/>
  <c r="I15"/>
  <c r="K2" i="19"/>
  <c r="F2" i="7"/>
  <c r="E21" s="1"/>
  <c r="C28" i="6"/>
  <c r="J2" i="11"/>
  <c r="G1" i="15"/>
  <c r="I4"/>
  <c r="I11"/>
  <c r="J22" i="11" l="1"/>
  <c r="J23" s="1"/>
  <c r="C22" i="19"/>
  <c r="G21"/>
  <c r="F16" i="3"/>
  <c r="M16" s="1"/>
  <c r="F18"/>
  <c r="M18" s="1"/>
  <c r="F14"/>
  <c r="M14" s="1"/>
  <c r="F11"/>
  <c r="M11" s="1"/>
  <c r="F19"/>
  <c r="M19" s="1"/>
  <c r="F10"/>
  <c r="M10" s="1"/>
  <c r="F7"/>
  <c r="M7" s="1"/>
  <c r="F15"/>
  <c r="M15" s="1"/>
  <c r="F8"/>
  <c r="M8" s="1"/>
  <c r="F13"/>
  <c r="M13" s="1"/>
  <c r="F12"/>
  <c r="M12" s="1"/>
  <c r="F9"/>
  <c r="M9" s="1"/>
  <c r="C29" i="6"/>
  <c r="D28"/>
  <c r="E22" i="7"/>
  <c r="F15" s="1"/>
  <c r="J14" i="13" s="1"/>
  <c r="J7" i="11" l="1"/>
  <c r="N5" i="13" s="1"/>
  <c r="J14" i="11"/>
  <c r="N12" i="13" s="1"/>
  <c r="J16" i="11"/>
  <c r="N14" i="13" s="1"/>
  <c r="J15" i="11"/>
  <c r="J10"/>
  <c r="N8" i="13" s="1"/>
  <c r="J18" i="11"/>
  <c r="J9"/>
  <c r="J8"/>
  <c r="N6" i="13" s="1"/>
  <c r="J6" i="11"/>
  <c r="N4" i="13" s="1"/>
  <c r="Q14"/>
  <c r="F8" i="7"/>
  <c r="J7" i="13" s="1"/>
  <c r="F14" i="7"/>
  <c r="J13" i="13" s="1"/>
  <c r="F5" i="7"/>
  <c r="J4" i="13" s="1"/>
  <c r="F7" i="7"/>
  <c r="J6" i="13" s="1"/>
  <c r="F17" i="7"/>
  <c r="J16" i="13" s="1"/>
  <c r="F9" i="7"/>
  <c r="J8" i="13" s="1"/>
  <c r="F13" i="7"/>
  <c r="J12" i="13" s="1"/>
  <c r="G29" s="1"/>
  <c r="F6" i="7"/>
  <c r="J5" i="13" s="1"/>
  <c r="G22" i="19"/>
  <c r="N13" i="3"/>
  <c r="N18"/>
  <c r="N14"/>
  <c r="N10"/>
  <c r="N17"/>
  <c r="N15"/>
  <c r="N12"/>
  <c r="N7"/>
  <c r="N11"/>
  <c r="N9"/>
  <c r="N8"/>
  <c r="N19"/>
  <c r="N16"/>
  <c r="D29" i="6"/>
  <c r="C30"/>
  <c r="K18" i="11" l="1"/>
  <c r="Q12" i="13"/>
  <c r="N16"/>
  <c r="Q16" s="1"/>
  <c r="Q8"/>
  <c r="Q4"/>
  <c r="Q5"/>
  <c r="Q6"/>
  <c r="D33"/>
  <c r="C33"/>
  <c r="K9" i="11"/>
  <c r="N7" i="13"/>
  <c r="Q7" s="1"/>
  <c r="K15" i="11"/>
  <c r="N13" i="13"/>
  <c r="K10" i="11"/>
  <c r="G11" i="7"/>
  <c r="G10"/>
  <c r="G12"/>
  <c r="G5"/>
  <c r="G8"/>
  <c r="G13"/>
  <c r="G14"/>
  <c r="G9"/>
  <c r="G22" i="13"/>
  <c r="K14" i="11"/>
  <c r="K16"/>
  <c r="K7"/>
  <c r="K8"/>
  <c r="K6"/>
  <c r="G17" i="7"/>
  <c r="G16"/>
  <c r="G24" i="13"/>
  <c r="G15" i="7"/>
  <c r="D30" i="6"/>
  <c r="C31"/>
  <c r="G6" i="7"/>
  <c r="G7"/>
  <c r="G33" i="13" l="1"/>
  <c r="H33"/>
  <c r="D31" i="6"/>
  <c r="C32"/>
  <c r="C33" l="1"/>
  <c r="D32"/>
  <c r="D33" l="1"/>
  <c r="C34"/>
  <c r="D34" l="1"/>
  <c r="C35"/>
  <c r="C36" l="1"/>
  <c r="D35"/>
  <c r="D36" l="1"/>
  <c r="C37"/>
  <c r="D37" l="1"/>
  <c r="C38"/>
  <c r="D38" l="1"/>
  <c r="C39"/>
  <c r="D39" l="1"/>
  <c r="C40"/>
  <c r="D40" l="1"/>
  <c r="C41"/>
  <c r="C42" l="1"/>
  <c r="D41"/>
  <c r="D42" l="1"/>
  <c r="C43"/>
  <c r="D43" s="1"/>
  <c r="H14" l="1"/>
  <c r="I13" i="13" s="1"/>
  <c r="Q13" s="1"/>
  <c r="H9" i="6"/>
  <c r="G6"/>
  <c r="H6" s="1"/>
  <c r="H16"/>
  <c r="I15" i="13" s="1"/>
  <c r="H13" i="6"/>
  <c r="H15"/>
  <c r="H12"/>
  <c r="H11"/>
  <c r="H17"/>
  <c r="H8"/>
  <c r="G7"/>
  <c r="H7" s="1"/>
  <c r="H10"/>
  <c r="G5"/>
  <c r="H5" s="1"/>
  <c r="C32" i="13" l="1"/>
  <c r="E32"/>
  <c r="D32"/>
  <c r="Q15"/>
  <c r="H32"/>
  <c r="E29"/>
  <c r="E23"/>
  <c r="E28"/>
  <c r="E22"/>
  <c r="E31"/>
  <c r="E24"/>
  <c r="E25"/>
  <c r="E26"/>
  <c r="E27"/>
  <c r="E30"/>
  <c r="D25"/>
  <c r="C25"/>
  <c r="H25"/>
  <c r="D31"/>
  <c r="H31"/>
  <c r="C31"/>
  <c r="H22"/>
  <c r="D22"/>
  <c r="C22"/>
  <c r="C29"/>
  <c r="H29"/>
  <c r="D29"/>
  <c r="H24"/>
  <c r="D24"/>
  <c r="C24"/>
  <c r="C23"/>
  <c r="D23"/>
  <c r="H23"/>
  <c r="C28"/>
  <c r="H28"/>
  <c r="D28"/>
  <c r="C26"/>
  <c r="D26"/>
  <c r="H26"/>
  <c r="C27"/>
  <c r="D27"/>
  <c r="H27"/>
  <c r="H30"/>
  <c r="D30"/>
  <c r="C30"/>
  <c r="I14" i="6"/>
  <c r="I13"/>
  <c r="I15"/>
  <c r="I17"/>
  <c r="I8"/>
  <c r="I12"/>
  <c r="I16"/>
  <c r="I9"/>
  <c r="I11"/>
  <c r="I7"/>
  <c r="I10"/>
  <c r="I6"/>
  <c r="I5"/>
  <c r="E21" i="13" l="1"/>
  <c r="E35" s="1"/>
  <c r="C21"/>
  <c r="C35" s="1"/>
  <c r="D21"/>
  <c r="D35" s="1"/>
  <c r="H21"/>
  <c r="F3" i="4" l="1"/>
  <c r="F2"/>
  <c r="F6" l="1"/>
  <c r="F7" s="1"/>
  <c r="F19" s="1"/>
  <c r="F12" l="1"/>
  <c r="G23" i="13" s="1"/>
  <c r="F14" i="4"/>
  <c r="F10"/>
  <c r="F22"/>
  <c r="F20"/>
  <c r="F21"/>
  <c r="G31" i="13" l="1"/>
  <c r="G22" i="4"/>
  <c r="G21" i="13"/>
  <c r="G10" i="4"/>
  <c r="G20"/>
  <c r="G30" i="13"/>
  <c r="G21" i="4"/>
  <c r="G25" i="13"/>
  <c r="G14" i="4"/>
  <c r="G12"/>
  <c r="G19"/>
  <c r="G35" i="13" l="1"/>
</calcChain>
</file>

<file path=xl/sharedStrings.xml><?xml version="1.0" encoding="utf-8"?>
<sst xmlns="http://schemas.openxmlformats.org/spreadsheetml/2006/main" count="708" uniqueCount="282">
  <si>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</si>
  <si>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</si>
  <si>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</si>
  <si>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</si>
  <si>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</si>
  <si>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</si>
  <si>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</si>
  <si>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</si>
  <si>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</si>
  <si>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</si>
  <si>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</si>
  <si>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</si>
  <si>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</si>
  <si>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</si>
  <si>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</si>
  <si>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</si>
  <si>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</si>
  <si>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</si>
  <si>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</si>
  <si>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</si>
  <si>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</si>
  <si>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</si>
  <si>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</si>
  <si>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</si>
  <si>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TOTAL</t>
  </si>
  <si>
    <t>RANK</t>
  </si>
  <si>
    <t>FINAL</t>
  </si>
  <si>
    <t>Ordinal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</si>
  <si>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</si>
  <si>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</si>
  <si>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</si>
  <si>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</si>
  <si>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</si>
  <si>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</si>
  <si>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</si>
  <si>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</si>
  <si>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</si>
  <si>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</si>
  <si>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</si>
  <si>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</si>
  <si>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</si>
  <si>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</si>
  <si>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</si>
  <si>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</si>
  <si>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</si>
  <si>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</si>
  <si>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Comments</t>
  </si>
  <si>
    <t>Actual
Gallons
Consumed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</si>
  <si>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</si>
  <si>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</si>
  <si>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</si>
  <si>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</si>
  <si>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</si>
  <si>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</si>
  <si>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</si>
  <si>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</si>
  <si>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</si>
  <si>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</si>
  <si>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</si>
  <si>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</si>
  <si>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</si>
  <si>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</si>
  <si>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</si>
  <si>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</si>
  <si>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Fuel Economy Winner (Gage)</t>
  </si>
  <si>
    <t>Most Practical Winner (BRC)</t>
  </si>
  <si>
    <t>Best Handling (Polaris)</t>
  </si>
  <si>
    <t>Average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</si>
  <si>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</si>
  <si>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</si>
  <si>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</si>
  <si>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</si>
  <si>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</si>
  <si>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</si>
  <si>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</si>
  <si>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</si>
  <si>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</si>
  <si>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Inspection
 Penalty</t>
  </si>
  <si>
    <t>Ranking</t>
  </si>
  <si>
    <t>CSC Points</t>
  </si>
  <si>
    <t>Lowest "In Service" Emissions (Sensors)</t>
  </si>
  <si>
    <t>FINAL EMISSIONS (grams/mile)</t>
  </si>
  <si>
    <t>No points for</t>
  </si>
  <si>
    <t>Weight</t>
  </si>
  <si>
    <t>BSFC +</t>
  </si>
  <si>
    <t>Fuel Economy +</t>
  </si>
  <si>
    <t>Completed 5 Modes</t>
  </si>
  <si>
    <t>Lab Emission Test</t>
  </si>
  <si>
    <t>Lab Emission Points</t>
  </si>
  <si>
    <t>Lab EmissionRanking</t>
  </si>
  <si>
    <t>Weighted BSFC</t>
  </si>
  <si>
    <t>Teams exceeding 130 HP during the Power Sweep will not be allowed to continue</t>
  </si>
  <si>
    <t>Min Emissions</t>
  </si>
  <si>
    <t>Max Emission</t>
  </si>
  <si>
    <t>Min Fuel Economy</t>
  </si>
  <si>
    <t>Max Fuel Economy</t>
  </si>
  <si>
    <t>BSFC Points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</si>
  <si>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</si>
  <si>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</si>
  <si>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</si>
  <si>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</si>
  <si>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</si>
  <si>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</si>
  <si>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</si>
  <si>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</si>
  <si>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</si>
  <si>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</si>
  <si>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</si>
  <si>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</si>
  <si>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</si>
  <si>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</si>
  <si>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</si>
  <si>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</si>
  <si>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</si>
  <si>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</si>
  <si>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</si>
  <si>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</si>
  <si>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</si>
  <si>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>Mimimum score is 5 points regardless of averaage</t>
  </si>
  <si>
    <t>Otherwise the average is the score.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</si>
  <si>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</si>
  <si>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</si>
  <si>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</si>
  <si>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</si>
  <si>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</si>
  <si>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</si>
  <si>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</si>
  <si>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</si>
  <si>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</si>
  <si>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</si>
  <si>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</si>
  <si>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</si>
  <si>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</si>
  <si>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</si>
  <si>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</si>
  <si>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</si>
  <si>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Sound Pressure</t>
  </si>
  <si>
    <t>Sample result: -3dB in sound pressure = ~half the max score</t>
  </si>
  <si>
    <t>Lowest SPL gets 150 points</t>
  </si>
  <si>
    <t>SPL equal to or greater than control sled gets 7.5 points</t>
  </si>
  <si>
    <t>CO+NO+THC
g/mile</t>
  </si>
  <si>
    <t>Endurance</t>
  </si>
  <si>
    <t>Run 1 Lap Time (s)</t>
  </si>
  <si>
    <t>Run 2 Lap Time (s)</t>
  </si>
  <si>
    <t>Fuel consumed (gallons)</t>
  </si>
  <si>
    <t>Design Paper
Judge</t>
  </si>
  <si>
    <t>Minimum team J1161 Sound Pressure Level =</t>
  </si>
  <si>
    <t>Control Sled J1161 Sound Pressure Level</t>
  </si>
  <si>
    <t>DNF</t>
  </si>
  <si>
    <t>PASS</t>
  </si>
  <si>
    <t>FAIL</t>
  </si>
  <si>
    <t>MinEScore</t>
  </si>
  <si>
    <t>-</t>
  </si>
  <si>
    <t>MaxEScore</t>
  </si>
  <si>
    <t>MinBSFC</t>
  </si>
  <si>
    <t>g/kw-hr</t>
  </si>
  <si>
    <t>MaxBSFC</t>
  </si>
  <si>
    <t>Minimum Points</t>
  </si>
  <si>
    <t>Maximum Points</t>
  </si>
  <si>
    <t>Value</t>
  </si>
  <si>
    <t>as above</t>
  </si>
  <si>
    <t>dBA</t>
  </si>
  <si>
    <t>Control Sled tested to J1161 Sound Pressure
 at 35mph in dBA</t>
  </si>
  <si>
    <t>Total Time must be Less than 10 seconds</t>
  </si>
  <si>
    <t>M</t>
  </si>
  <si>
    <t>B</t>
  </si>
  <si>
    <t>Total Points</t>
  </si>
  <si>
    <t>FE Score</t>
  </si>
  <si>
    <t>FE Ordinal</t>
  </si>
  <si>
    <t>V</t>
  </si>
  <si>
    <t>Penalties</t>
  </si>
  <si>
    <t>negative numbers</t>
  </si>
  <si>
    <t>positive numbers</t>
  </si>
  <si>
    <t>Top Speed Run 1</t>
  </si>
  <si>
    <t>Top Speed Run 2</t>
  </si>
  <si>
    <t>Best Speed (mph)</t>
  </si>
  <si>
    <t>Sums</t>
  </si>
  <si>
    <t>CAN -DO E-Controls award (E Controls) $1,000 value
 products</t>
  </si>
  <si>
    <t>Horiba "A Team in Need" - portable
 5 gas analyzer $5,000 value</t>
  </si>
  <si>
    <t>Ecole De Technologie Superieure</t>
  </si>
  <si>
    <t>Univ of Wisconsin - Madison</t>
  </si>
  <si>
    <t>Univ of Minnesota-Duluth</t>
  </si>
  <si>
    <t>Univ of Idaho</t>
  </si>
  <si>
    <t>Michigan Tech Univ</t>
  </si>
  <si>
    <t>SUNY - Buffalo</t>
  </si>
  <si>
    <t>Rochester Institute of Technology</t>
  </si>
  <si>
    <t>Iowa State Univ</t>
  </si>
  <si>
    <t>Univ of Wisconsin - Platteville</t>
  </si>
  <si>
    <t>Indiana Univ Purdue Univ Indianapolis</t>
  </si>
  <si>
    <t>Univ of Minnesota - Twin Cities</t>
  </si>
  <si>
    <t>Ferris State University</t>
  </si>
  <si>
    <t>Kettering Univ</t>
  </si>
  <si>
    <t>SAE CSC 2018 Design Paper</t>
  </si>
  <si>
    <t>SAE CSC 2018 IC Vehicle Weights</t>
  </si>
  <si>
    <t>SAE CSC 2018 Penalties and Bonuses</t>
  </si>
  <si>
    <t xml:space="preserve">SAE CSC 2018 Objective Handling/Driveability </t>
  </si>
  <si>
    <t>SAE CSC 2018 Cold Start Results</t>
  </si>
  <si>
    <t>SAE CSC 2018 In Service Emission Testing Results</t>
  </si>
  <si>
    <t>SAE CSC 2018 Oral Presentation Results</t>
  </si>
  <si>
    <t>SAE CSC 2018 IC Engine Noise Testing</t>
  </si>
  <si>
    <t>SAE CSC 2018 Fuel Economy/Endurance Results</t>
  </si>
  <si>
    <t>SAE CSC 2018 Subjective Ride Results - Event Coordinator - Polaris</t>
  </si>
  <si>
    <t>SAE CSC 2018 MSRP Results</t>
  </si>
  <si>
    <t>SAE CSC 2018 Static Display Results</t>
  </si>
  <si>
    <t>For reference only</t>
  </si>
  <si>
    <t>SAE CSC 2018 Acceleration Results Bredan Bungert- Polaris</t>
  </si>
  <si>
    <t>Brenden Bungert Polaris</t>
  </si>
  <si>
    <t>DNC</t>
  </si>
  <si>
    <t>(Best fuel economy)</t>
  </si>
  <si>
    <t>(worst fuel economy)</t>
  </si>
  <si>
    <t>E 20.2</t>
  </si>
  <si>
    <t>Did not pass Insp[ection</t>
  </si>
  <si>
    <t>Improper stopping at road crossing causing an accident that broke a tail light.</t>
  </si>
  <si>
    <t>LAB EMISSION TEST - SCORING SUMMARY</t>
  </si>
  <si>
    <t>Name</t>
  </si>
  <si>
    <t>Maximum Horsepower &lt; 130</t>
  </si>
  <si>
    <t>CO &lt; 275</t>
  </si>
  <si>
    <t>HC + Nox &lt; 90</t>
  </si>
  <si>
    <t>E Score &gt; 175</t>
  </si>
  <si>
    <t>Soot &lt; 50</t>
  </si>
  <si>
    <t>Passing E Scores</t>
  </si>
  <si>
    <t>#1 ETS</t>
  </si>
  <si>
    <t>#2 Madison</t>
  </si>
  <si>
    <t>#3 UM Duluth</t>
  </si>
  <si>
    <t>#4 Idaho</t>
  </si>
  <si>
    <t>#7 MTU</t>
  </si>
  <si>
    <t>#8 Buffalo</t>
  </si>
  <si>
    <t>Did not compete</t>
  </si>
  <si>
    <t>#9 Rochester</t>
  </si>
  <si>
    <t>#10 Iowa</t>
  </si>
  <si>
    <t>#11 UW Platteville</t>
  </si>
  <si>
    <t>#14 IUPUI</t>
  </si>
  <si>
    <t>#15 Minnesota - Twin City</t>
  </si>
  <si>
    <t>#16 Ferris</t>
  </si>
  <si>
    <t>#17 Kettering</t>
  </si>
  <si>
    <t>Must PASS "Lab Emissions Test" to score "Lab Emission Points"</t>
  </si>
  <si>
    <t>Must PASS "Completed 5 Modes" to score "BSFC points", but do not have to PASS the "Lab Emission Test"</t>
  </si>
  <si>
    <t>equals aaverage</t>
  </si>
  <si>
    <t>Unable to restart due to battery</t>
  </si>
  <si>
    <t>Failed on KRC course, overheated</t>
  </si>
  <si>
    <t>Did not pass Inspection</t>
  </si>
  <si>
    <t>repaired wiring and fuse</t>
  </si>
  <si>
    <t>Repaired broken exhaust</t>
  </si>
  <si>
    <t>Late for inspection and did not pass on time</t>
  </si>
  <si>
    <t>Late for inspection</t>
  </si>
  <si>
    <t>Did not pass inspection on day one</t>
  </si>
  <si>
    <t>did not pass inspection on day one</t>
  </si>
  <si>
    <t>Failed at Electric Road location</t>
  </si>
  <si>
    <t>Flags 1 sec</t>
  </si>
  <si>
    <t>Box 5 sec</t>
  </si>
  <si>
    <t>Best Design Winner (Oshkosh)</t>
  </si>
  <si>
    <t>Mihigan Tech Univ</t>
  </si>
  <si>
    <t>Best Value Award (Continental)</t>
  </si>
  <si>
    <t>Ferris State</t>
  </si>
  <si>
    <t>Idaho</t>
  </si>
  <si>
    <t>Platteville</t>
  </si>
  <si>
    <t>RIT</t>
  </si>
  <si>
    <t>Failed emissions, not eligible for first, second, or third</t>
  </si>
  <si>
    <t>First overall</t>
  </si>
  <si>
    <t>Second overall</t>
  </si>
  <si>
    <t>Third overall</t>
  </si>
  <si>
    <t>Fifth overall</t>
  </si>
  <si>
    <r>
      <t xml:space="preserve">Rookie of the year (HBPSI) </t>
    </r>
    <r>
      <rPr>
        <b/>
        <sz val="10"/>
        <color rgb="FF00B050"/>
        <rFont val="Arial"/>
        <family val="2"/>
      </rPr>
      <t>$500</t>
    </r>
  </si>
  <si>
    <r>
      <t xml:space="preserve">Propusion Efficiency (Borg Warner) </t>
    </r>
    <r>
      <rPr>
        <b/>
        <sz val="10"/>
        <color rgb="FF00B050"/>
        <rFont val="Arial"/>
        <family val="2"/>
      </rPr>
      <t>$1000</t>
    </r>
  </si>
  <si>
    <r>
      <t xml:space="preserve">Most Sportsmanlike Winner  (AVL) </t>
    </r>
    <r>
      <rPr>
        <b/>
        <sz val="12"/>
        <color rgb="FF00B050"/>
        <rFont val="Arial"/>
        <family val="2"/>
      </rPr>
      <t>$1000</t>
    </r>
  </si>
  <si>
    <r>
      <t xml:space="preserve">Second Place Winner Overall (YNP) </t>
    </r>
    <r>
      <rPr>
        <b/>
        <sz val="12"/>
        <color rgb="FF00B050"/>
        <rFont val="Arial"/>
        <family val="2"/>
      </rPr>
      <t>$750</t>
    </r>
  </si>
  <si>
    <r>
      <t>Third Place Winner Overall (ACSA)</t>
    </r>
    <r>
      <rPr>
        <b/>
        <sz val="12"/>
        <color rgb="FF00B050"/>
        <rFont val="Arial"/>
        <family val="2"/>
      </rPr>
      <t xml:space="preserve"> $500</t>
    </r>
  </si>
  <si>
    <r>
      <t xml:space="preserve">Best Engine Design (Mahle) </t>
    </r>
    <r>
      <rPr>
        <b/>
        <sz val="12"/>
        <color rgb="FF00B050"/>
        <rFont val="Arial"/>
        <family val="2"/>
      </rPr>
      <t>$500</t>
    </r>
  </si>
  <si>
    <r>
      <t xml:space="preserve">First Place Winner Overall
 (ISMA) </t>
    </r>
    <r>
      <rPr>
        <b/>
        <sz val="12"/>
        <color rgb="FF00B050"/>
        <rFont val="Arial"/>
        <family val="2"/>
      </rPr>
      <t>$1,000</t>
    </r>
    <r>
      <rPr>
        <b/>
        <sz val="12"/>
        <rFont val="Arial"/>
        <family val="2"/>
      </rPr>
      <t xml:space="preserve"> 
Additionally from MacLean-Fogg $1000 plus traveling trophy</t>
    </r>
  </si>
  <si>
    <t>Best Performance Winner (CAMSO)
Camso Trac for 2019</t>
  </si>
  <si>
    <t>Quietest Snowmobile Winner (PCB) 
Camso Trac for 2019</t>
  </si>
  <si>
    <t>ETS</t>
  </si>
  <si>
    <t>Duluth</t>
  </si>
  <si>
    <t>MTU</t>
  </si>
  <si>
    <t>UPUI</t>
  </si>
  <si>
    <t>UM Twin Cities</t>
  </si>
  <si>
    <t>Ferris</t>
  </si>
  <si>
    <t>Kettering</t>
  </si>
  <si>
    <t>MSA Award Plaque for Endurance</t>
  </si>
  <si>
    <t>Best Lab Emissions Winner (AVL)</t>
  </si>
  <si>
    <t>Replaced Battery
Replaced starter</t>
  </si>
  <si>
    <t>Milwaukee Tool Special Award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</si>
</sst>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8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996666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color rgb="FF00B050"/>
      <name val="Arial"/>
      <family val="2"/>
    </font>
    <font>
      <b/>
      <sz val="16"/>
      <color rgb="FF7030A0"/>
      <name val="Arial"/>
      <family val="2"/>
    </font>
    <font>
      <b/>
      <i/>
      <sz val="16"/>
      <name val="Arial"/>
      <family val="2"/>
    </font>
    <font>
      <b/>
      <sz val="16"/>
      <color rgb="FFC00000"/>
      <name val="Arial"/>
      <family val="2"/>
    </font>
    <font>
      <i/>
      <u/>
      <sz val="16"/>
      <name val="Arial"/>
      <family val="2"/>
    </font>
    <font>
      <sz val="14"/>
      <name val="Calibri"/>
      <family val="2"/>
    </font>
    <font>
      <sz val="14"/>
      <name val="Calibri"/>
      <family val="2"/>
      <scheme val="minor"/>
    </font>
    <font>
      <sz val="14"/>
      <color indexed="8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10"/>
      <color rgb="FFFFC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0">
    <xf numFmtId="0" fontId="0" fillId="0" borderId="0"/>
    <xf numFmtId="0" fontId="40" fillId="2" borderId="0" applyNumberFormat="0" applyBorder="0" applyAlignment="0" applyProtection="0"/>
    <xf numFmtId="44" fontId="41" fillId="0" borderId="0" applyFont="0" applyFill="0" applyBorder="0" applyAlignment="0" applyProtection="0"/>
    <xf numFmtId="0" fontId="8" fillId="0" borderId="0"/>
    <xf numFmtId="0" fontId="9" fillId="0" borderId="0"/>
    <xf numFmtId="0" fontId="59" fillId="0" borderId="0" applyNumberFormat="0" applyFill="0" applyBorder="0" applyAlignment="0" applyProtection="0"/>
    <xf numFmtId="44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75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35">
    <xf numFmtId="0" fontId="0" fillId="0" borderId="0" xfId="0"/>
    <xf numFmtId="0" fontId="0" fillId="0" borderId="0" xfId="0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10" fillId="0" borderId="0" xfId="0" applyFont="1" applyAlignment="1" applyProtection="1">
      <alignment horizontal="center"/>
    </xf>
    <xf numFmtId="0" fontId="0" fillId="0" borderId="0" xfId="0" applyProtection="1"/>
    <xf numFmtId="0" fontId="15" fillId="0" borderId="0" xfId="0" applyFont="1" applyProtection="1"/>
    <xf numFmtId="0" fontId="11" fillId="0" borderId="0" xfId="0" applyFont="1" applyProtection="1"/>
    <xf numFmtId="0" fontId="0" fillId="0" borderId="0" xfId="0" applyAlignment="1" applyProtection="1">
      <alignment horizontal="right"/>
    </xf>
    <xf numFmtId="0" fontId="10" fillId="0" borderId="0" xfId="0" applyFont="1" applyProtection="1"/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10" fillId="0" borderId="0" xfId="0" applyFont="1" applyAlignment="1" applyProtection="1">
      <alignment horizontal="right"/>
    </xf>
    <xf numFmtId="0" fontId="13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13" fillId="0" borderId="0" xfId="0" applyFont="1" applyFill="1" applyBorder="1" applyProtection="1"/>
    <xf numFmtId="1" fontId="10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Fill="1" applyBorder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14" fillId="0" borderId="0" xfId="0" applyFont="1" applyFill="1" applyBorder="1" applyAlignment="1" applyProtection="1">
      <alignment horizontal="right"/>
    </xf>
    <xf numFmtId="1" fontId="10" fillId="0" borderId="0" xfId="0" applyNumberFormat="1" applyFont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4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 wrapText="1"/>
    </xf>
    <xf numFmtId="1" fontId="12" fillId="0" borderId="0" xfId="0" applyNumberFormat="1" applyFont="1" applyAlignment="1" applyProtection="1">
      <alignment horizontal="right"/>
    </xf>
    <xf numFmtId="0" fontId="12" fillId="0" borderId="0" xfId="0" applyFont="1" applyProtection="1"/>
    <xf numFmtId="0" fontId="13" fillId="0" borderId="0" xfId="0" applyFont="1" applyFill="1" applyBorder="1" applyAlignment="1" applyProtection="1">
      <alignment horizontal="center" wrapText="1"/>
    </xf>
    <xf numFmtId="164" fontId="14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4" fillId="0" borderId="0" xfId="0" applyFont="1" applyFill="1"/>
    <xf numFmtId="0" fontId="13" fillId="0" borderId="0" xfId="0" applyFont="1" applyFill="1" applyAlignment="1" applyProtection="1">
      <alignment horizontal="center"/>
    </xf>
    <xf numFmtId="0" fontId="15" fillId="0" borderId="0" xfId="0" applyFont="1" applyFill="1"/>
    <xf numFmtId="0" fontId="13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4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4" fillId="0" borderId="0" xfId="0" applyFont="1" applyFill="1" applyBorder="1" applyAlignment="1" applyProtection="1">
      <alignment horizontal="center"/>
    </xf>
    <xf numFmtId="164" fontId="0" fillId="0" borderId="0" xfId="0" applyNumberFormat="1"/>
    <xf numFmtId="0" fontId="10" fillId="0" borderId="0" xfId="0" applyFont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10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12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3" fillId="0" borderId="0" xfId="0" applyNumberFormat="1" applyFont="1" applyFill="1" applyBorder="1" applyAlignment="1" applyProtection="1">
      <alignment horizontal="center"/>
    </xf>
    <xf numFmtId="0" fontId="18" fillId="0" borderId="0" xfId="0" applyFont="1"/>
    <xf numFmtId="0" fontId="10" fillId="0" borderId="0" xfId="0" applyFont="1" applyAlignment="1" applyProtection="1">
      <alignment horizontal="left"/>
    </xf>
    <xf numFmtId="0" fontId="12" fillId="0" borderId="0" xfId="0" applyFont="1"/>
    <xf numFmtId="0" fontId="12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10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4" fillId="0" borderId="0" xfId="0" quotePrefix="1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wrapText="1"/>
    </xf>
    <xf numFmtId="0" fontId="13" fillId="0" borderId="0" xfId="0" applyFont="1" applyAlignment="1" applyProtection="1">
      <alignment horizontal="left"/>
    </xf>
    <xf numFmtId="1" fontId="12" fillId="0" borderId="0" xfId="0" applyNumberFormat="1" applyFont="1" applyAlignment="1" applyProtection="1">
      <alignment horizontal="center"/>
    </xf>
    <xf numFmtId="165" fontId="12" fillId="0" borderId="0" xfId="0" applyNumberFormat="1" applyFont="1" applyProtection="1"/>
    <xf numFmtId="0" fontId="19" fillId="0" borderId="0" xfId="0" applyFont="1" applyProtection="1"/>
    <xf numFmtId="0" fontId="19" fillId="0" borderId="0" xfId="0" applyFont="1" applyAlignment="1" applyProtection="1"/>
    <xf numFmtId="0" fontId="19" fillId="0" borderId="0" xfId="0" applyFont="1" applyBorder="1" applyAlignment="1" applyProtection="1"/>
    <xf numFmtId="0" fontId="19" fillId="0" borderId="0" xfId="0" applyFont="1" applyBorder="1" applyProtection="1"/>
    <xf numFmtId="0" fontId="19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19" fillId="0" borderId="0" xfId="0" applyFont="1"/>
    <xf numFmtId="0" fontId="19" fillId="0" borderId="0" xfId="0" applyFont="1" applyAlignment="1">
      <alignment horizontal="center"/>
    </xf>
    <xf numFmtId="164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/>
    <xf numFmtId="2" fontId="19" fillId="0" borderId="0" xfId="0" applyNumberFormat="1" applyFont="1" applyFill="1" applyBorder="1" applyAlignment="1" applyProtection="1">
      <alignment horizontal="center"/>
    </xf>
    <xf numFmtId="164" fontId="19" fillId="0" borderId="0" xfId="0" applyNumberFormat="1" applyFont="1" applyFill="1" applyBorder="1" applyAlignment="1" applyProtection="1"/>
    <xf numFmtId="164" fontId="19" fillId="0" borderId="0" xfId="0" applyNumberFormat="1" applyFont="1" applyFill="1" applyAlignment="1" applyProtection="1"/>
    <xf numFmtId="164" fontId="19" fillId="0" borderId="0" xfId="0" applyNumberFormat="1" applyFont="1" applyFill="1" applyProtection="1"/>
    <xf numFmtId="164" fontId="19" fillId="0" borderId="0" xfId="0" applyNumberFormat="1" applyFont="1" applyFill="1"/>
    <xf numFmtId="164" fontId="19" fillId="0" borderId="0" xfId="0" applyNumberFormat="1" applyFont="1" applyFill="1" applyAlignment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Alignment="1">
      <alignment horizontal="center"/>
    </xf>
    <xf numFmtId="0" fontId="20" fillId="0" borderId="0" xfId="0" applyFont="1" applyProtection="1"/>
    <xf numFmtId="2" fontId="20" fillId="0" borderId="0" xfId="0" applyNumberFormat="1" applyFont="1" applyFill="1" applyBorder="1" applyAlignment="1">
      <alignment horizontal="center"/>
    </xf>
    <xf numFmtId="166" fontId="20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Border="1" applyAlignment="1">
      <alignment horizontal="center"/>
    </xf>
    <xf numFmtId="166" fontId="19" fillId="0" borderId="0" xfId="0" applyNumberFormat="1" applyFont="1" applyFill="1" applyBorder="1" applyAlignment="1" applyProtection="1">
      <alignment horizontal="center"/>
    </xf>
    <xf numFmtId="14" fontId="19" fillId="0" borderId="0" xfId="0" applyNumberFormat="1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center"/>
    </xf>
    <xf numFmtId="0" fontId="14" fillId="0" borderId="0" xfId="0" applyFont="1" applyAlignment="1" applyProtection="1"/>
    <xf numFmtId="0" fontId="13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4" fillId="0" borderId="0" xfId="0" applyFont="1" applyAlignment="1"/>
    <xf numFmtId="2" fontId="14" fillId="0" borderId="0" xfId="0" applyNumberFormat="1" applyFont="1" applyFill="1" applyBorder="1" applyAlignment="1" applyProtection="1">
      <alignment horizontal="center"/>
    </xf>
    <xf numFmtId="164" fontId="14" fillId="0" borderId="0" xfId="0" applyNumberFormat="1" applyFont="1" applyFill="1" applyBorder="1" applyAlignment="1" applyProtection="1"/>
    <xf numFmtId="167" fontId="14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14" fillId="0" borderId="0" xfId="0" applyFont="1" applyFill="1" applyBorder="1" applyAlignment="1" applyProtection="1">
      <alignment horizontal="center" wrapText="1"/>
    </xf>
    <xf numFmtId="165" fontId="13" fillId="0" borderId="0" xfId="0" applyNumberFormat="1" applyFont="1" applyFill="1" applyBorder="1" applyProtection="1"/>
    <xf numFmtId="0" fontId="10" fillId="0" borderId="0" xfId="0" applyFont="1"/>
    <xf numFmtId="2" fontId="10" fillId="0" borderId="0" xfId="0" applyNumberFormat="1" applyFont="1" applyFill="1" applyBorder="1" applyAlignment="1" applyProtection="1">
      <alignment horizontal="left"/>
    </xf>
    <xf numFmtId="0" fontId="12" fillId="0" borderId="0" xfId="0" applyFont="1" applyAlignment="1" applyProtection="1">
      <alignment horizontal="center"/>
    </xf>
    <xf numFmtId="0" fontId="23" fillId="0" borderId="0" xfId="0" applyFont="1" applyProtection="1"/>
    <xf numFmtId="0" fontId="22" fillId="0" borderId="0" xfId="0" applyFont="1" applyProtection="1"/>
    <xf numFmtId="0" fontId="24" fillId="0" borderId="0" xfId="0" applyFont="1" applyFill="1" applyBorder="1" applyAlignment="1" applyProtection="1">
      <alignment horizontal="left"/>
    </xf>
    <xf numFmtId="0" fontId="24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3" fillId="0" borderId="0" xfId="0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3" fillId="0" borderId="0" xfId="0" applyFont="1" applyFill="1" applyBorder="1" applyAlignment="1" applyProtection="1">
      <alignment horizontal="center"/>
    </xf>
    <xf numFmtId="1" fontId="23" fillId="0" borderId="0" xfId="0" applyNumberFormat="1" applyFont="1" applyAlignment="1" applyProtection="1">
      <alignment horizontal="center"/>
    </xf>
    <xf numFmtId="164" fontId="26" fillId="0" borderId="0" xfId="0" applyNumberFormat="1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167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Fill="1"/>
    <xf numFmtId="0" fontId="23" fillId="0" borderId="0" xfId="0" applyFont="1" applyFill="1" applyBorder="1" applyAlignment="1" applyProtection="1">
      <alignment horizontal="right"/>
    </xf>
    <xf numFmtId="1" fontId="26" fillId="0" borderId="0" xfId="0" applyNumberFormat="1" applyFont="1" applyAlignment="1" applyProtection="1">
      <alignment horizontal="right"/>
    </xf>
    <xf numFmtId="0" fontId="0" fillId="0" borderId="0" xfId="0" applyAlignment="1">
      <alignment wrapText="1"/>
    </xf>
    <xf numFmtId="0" fontId="28" fillId="0" borderId="0" xfId="0" applyFont="1" applyAlignment="1" applyProtection="1">
      <alignment horizontal="center" wrapText="1"/>
    </xf>
    <xf numFmtId="0" fontId="27" fillId="0" borderId="0" xfId="0" applyFont="1"/>
    <xf numFmtId="0" fontId="27" fillId="0" borderId="0" xfId="0" applyFont="1" applyProtection="1"/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0" fillId="0" borderId="0" xfId="0" applyFont="1" applyFill="1" applyAlignment="1">
      <alignment horizontal="center"/>
    </xf>
    <xf numFmtId="0" fontId="9" fillId="0" borderId="0" xfId="0" applyFont="1"/>
    <xf numFmtId="2" fontId="12" fillId="0" borderId="0" xfId="0" applyNumberFormat="1" applyFont="1" applyFill="1" applyBorder="1" applyAlignment="1" applyProtection="1">
      <alignment horizontal="center"/>
    </xf>
    <xf numFmtId="164" fontId="10" fillId="0" borderId="0" xfId="0" quotePrefix="1" applyNumberFormat="1" applyFont="1" applyBorder="1" applyAlignment="1" applyProtection="1">
      <alignment horizontal="center"/>
    </xf>
    <xf numFmtId="1" fontId="10" fillId="0" borderId="0" xfId="0" applyNumberFormat="1" applyFont="1" applyBorder="1" applyAlignment="1" applyProtection="1">
      <alignment horizontal="center"/>
    </xf>
    <xf numFmtId="164" fontId="10" fillId="0" borderId="0" xfId="0" applyNumberFormat="1" applyFont="1" applyBorder="1" applyAlignment="1" applyProtection="1">
      <alignment horizontal="right"/>
    </xf>
    <xf numFmtId="164" fontId="14" fillId="0" borderId="0" xfId="0" applyNumberFormat="1" applyFont="1" applyFill="1"/>
    <xf numFmtId="2" fontId="10" fillId="0" borderId="0" xfId="0" applyNumberFormat="1" applyFont="1" applyAlignment="1">
      <alignment horizontal="center"/>
    </xf>
    <xf numFmtId="0" fontId="30" fillId="0" borderId="0" xfId="0" applyFont="1" applyAlignment="1">
      <alignment horizontal="justify"/>
    </xf>
    <xf numFmtId="0" fontId="30" fillId="0" borderId="0" xfId="0" applyFont="1" applyAlignment="1">
      <alignment horizontal="left"/>
    </xf>
    <xf numFmtId="2" fontId="19" fillId="0" borderId="0" xfId="0" applyNumberFormat="1" applyFont="1" applyFill="1" applyBorder="1" applyAlignment="1" applyProtection="1">
      <alignment horizontal="left"/>
    </xf>
    <xf numFmtId="0" fontId="12" fillId="0" borderId="0" xfId="0" applyFont="1" applyAlignment="1"/>
    <xf numFmtId="0" fontId="29" fillId="0" borderId="0" xfId="0" applyFont="1" applyAlignment="1">
      <alignment horizontal="center"/>
    </xf>
    <xf numFmtId="164" fontId="22" fillId="0" borderId="2" xfId="0" applyNumberFormat="1" applyFont="1" applyBorder="1" applyAlignment="1">
      <alignment horizontal="center"/>
    </xf>
    <xf numFmtId="0" fontId="22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0" xfId="0" applyFont="1" applyFill="1" applyAlignment="1" applyProtection="1">
      <alignment horizontal="center"/>
    </xf>
    <xf numFmtId="0" fontId="32" fillId="0" borderId="0" xfId="0" applyFont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Alignment="1" applyProtection="1">
      <alignment horizontal="left"/>
    </xf>
    <xf numFmtId="2" fontId="12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12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12" fillId="0" borderId="0" xfId="0" applyNumberFormat="1" applyFont="1" applyProtection="1"/>
    <xf numFmtId="2" fontId="14" fillId="0" borderId="0" xfId="0" applyNumberFormat="1" applyFont="1" applyProtection="1"/>
    <xf numFmtId="1" fontId="0" fillId="0" borderId="0" xfId="0" applyNumberFormat="1" applyBorder="1"/>
    <xf numFmtId="0" fontId="12" fillId="0" borderId="0" xfId="0" applyFont="1" applyBorder="1" applyAlignment="1">
      <alignment horizontal="left" wrapText="1"/>
    </xf>
    <xf numFmtId="164" fontId="12" fillId="0" borderId="2" xfId="0" applyNumberFormat="1" applyFont="1" applyBorder="1" applyAlignment="1">
      <alignment horizontal="left"/>
    </xf>
    <xf numFmtId="1" fontId="34" fillId="0" borderId="0" xfId="0" applyNumberFormat="1" applyFont="1" applyAlignment="1" applyProtection="1">
      <alignment horizontal="right"/>
    </xf>
    <xf numFmtId="0" fontId="34" fillId="0" borderId="0" xfId="0" applyFont="1" applyProtection="1"/>
    <xf numFmtId="0" fontId="35" fillId="0" borderId="0" xfId="0" applyFont="1"/>
    <xf numFmtId="0" fontId="35" fillId="0" borderId="0" xfId="0" applyFont="1" applyAlignment="1">
      <alignment horizontal="center"/>
    </xf>
    <xf numFmtId="164" fontId="35" fillId="0" borderId="0" xfId="0" applyNumberFormat="1" applyFont="1"/>
    <xf numFmtId="0" fontId="35" fillId="0" borderId="0" xfId="0" applyFont="1" applyProtection="1"/>
    <xf numFmtId="1" fontId="34" fillId="0" borderId="0" xfId="0" applyNumberFormat="1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164" fontId="9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 applyAlignment="1">
      <alignment horizontal="center"/>
    </xf>
    <xf numFmtId="0" fontId="36" fillId="0" borderId="0" xfId="0" applyFont="1"/>
    <xf numFmtId="0" fontId="35" fillId="0" borderId="0" xfId="0" applyFont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/>
    </xf>
    <xf numFmtId="164" fontId="35" fillId="0" borderId="2" xfId="0" applyNumberFormat="1" applyFont="1" applyBorder="1" applyAlignment="1">
      <alignment horizontal="center"/>
    </xf>
    <xf numFmtId="0" fontId="35" fillId="0" borderId="0" xfId="0" applyFont="1" applyAlignment="1" applyProtection="1"/>
    <xf numFmtId="0" fontId="35" fillId="0" borderId="0" xfId="0" applyFont="1" applyFill="1"/>
    <xf numFmtId="167" fontId="35" fillId="0" borderId="0" xfId="0" applyNumberFormat="1" applyFont="1" applyFill="1" applyBorder="1" applyAlignment="1" applyProtection="1">
      <alignment horizontal="center"/>
    </xf>
    <xf numFmtId="0" fontId="35" fillId="0" borderId="0" xfId="0" applyFont="1" applyAlignment="1"/>
    <xf numFmtId="0" fontId="35" fillId="0" borderId="0" xfId="0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Fill="1" applyBorder="1" applyAlignment="1" applyProtection="1">
      <alignment horizontal="center" wrapText="1"/>
    </xf>
    <xf numFmtId="0" fontId="37" fillId="0" borderId="0" xfId="0" applyFont="1" applyFill="1" applyBorder="1"/>
    <xf numFmtId="0" fontId="9" fillId="0" borderId="0" xfId="0" applyFont="1" applyAlignment="1">
      <alignment horizontal="left"/>
    </xf>
    <xf numFmtId="0" fontId="9" fillId="0" borderId="0" xfId="0" applyFont="1" applyProtection="1"/>
    <xf numFmtId="1" fontId="9" fillId="0" borderId="2" xfId="0" applyNumberFormat="1" applyFont="1" applyFill="1" applyBorder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164" fontId="9" fillId="0" borderId="0" xfId="0" applyNumberFormat="1" applyFont="1" applyAlignment="1">
      <alignment horizontal="center"/>
    </xf>
    <xf numFmtId="164" fontId="9" fillId="0" borderId="0" xfId="0" applyNumberFormat="1" applyFont="1" applyFill="1" applyBorder="1" applyProtection="1"/>
    <xf numFmtId="0" fontId="38" fillId="0" borderId="0" xfId="0" applyFont="1" applyProtection="1"/>
    <xf numFmtId="0" fontId="38" fillId="0" borderId="0" xfId="0" applyFont="1"/>
    <xf numFmtId="1" fontId="9" fillId="0" borderId="0" xfId="0" applyNumberFormat="1" applyFont="1" applyAlignment="1" applyProtection="1">
      <alignment horizont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/>
    <xf numFmtId="164" fontId="9" fillId="0" borderId="0" xfId="0" applyNumberFormat="1" applyFont="1"/>
    <xf numFmtId="164" fontId="9" fillId="0" borderId="0" xfId="0" applyNumberFormat="1" applyFont="1" applyAlignment="1" applyProtection="1">
      <alignment horizontal="right"/>
    </xf>
    <xf numFmtId="0" fontId="29" fillId="0" borderId="0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165" fontId="10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168" fontId="10" fillId="0" borderId="0" xfId="0" applyNumberFormat="1" applyFont="1" applyAlignment="1">
      <alignment horizontal="right"/>
    </xf>
    <xf numFmtId="44" fontId="10" fillId="0" borderId="0" xfId="0" applyNumberFormat="1" applyFont="1" applyAlignment="1">
      <alignment horizontal="right"/>
    </xf>
    <xf numFmtId="0" fontId="10" fillId="0" borderId="0" xfId="0" applyFont="1" applyAlignment="1">
      <alignment wrapText="1"/>
    </xf>
    <xf numFmtId="0" fontId="12" fillId="0" borderId="0" xfId="0" applyFont="1" applyFill="1"/>
    <xf numFmtId="164" fontId="0" fillId="0" borderId="0" xfId="0" applyNumberFormat="1" applyAlignment="1">
      <alignment horizontal="center"/>
    </xf>
    <xf numFmtId="0" fontId="14" fillId="0" borderId="0" xfId="0" applyNumberFormat="1" applyFont="1" applyProtection="1"/>
    <xf numFmtId="0" fontId="14" fillId="0" borderId="0" xfId="0" applyNumberFormat="1" applyFont="1" applyFill="1" applyBorder="1" applyProtection="1"/>
    <xf numFmtId="0" fontId="13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center"/>
    </xf>
    <xf numFmtId="0" fontId="19" fillId="0" borderId="0" xfId="0" applyNumberFormat="1" applyFont="1"/>
    <xf numFmtId="0" fontId="0" fillId="0" borderId="0" xfId="0" applyNumberFormat="1"/>
    <xf numFmtId="164" fontId="12" fillId="0" borderId="0" xfId="0" applyNumberFormat="1" applyFont="1" applyFill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9" fillId="0" borderId="0" xfId="0" applyNumberFormat="1" applyFont="1" applyBorder="1" applyAlignment="1" applyProtection="1">
      <alignment horizontal="left"/>
    </xf>
    <xf numFmtId="165" fontId="40" fillId="0" borderId="0" xfId="1" applyNumberFormat="1" applyFill="1" applyBorder="1" applyProtection="1"/>
    <xf numFmtId="166" fontId="14" fillId="0" borderId="0" xfId="0" applyNumberFormat="1" applyFont="1" applyProtection="1"/>
    <xf numFmtId="1" fontId="14" fillId="0" borderId="0" xfId="0" applyNumberFormat="1" applyFont="1" applyFill="1" applyBorder="1" applyAlignment="1" applyProtection="1">
      <alignment horizontal="center"/>
    </xf>
    <xf numFmtId="44" fontId="14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4" fillId="0" borderId="0" xfId="0" applyNumberFormat="1" applyFont="1" applyFill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0" fontId="35" fillId="0" borderId="0" xfId="0" applyFont="1" applyBorder="1"/>
    <xf numFmtId="0" fontId="35" fillId="0" borderId="0" xfId="0" applyFont="1" applyFill="1" applyBorder="1"/>
    <xf numFmtId="0" fontId="34" fillId="0" borderId="0" xfId="0" applyFont="1" applyBorder="1" applyAlignment="1" applyProtection="1">
      <alignment horizontal="center"/>
    </xf>
    <xf numFmtId="1" fontId="34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0" borderId="2" xfId="0" applyFont="1" applyFill="1" applyBorder="1" applyAlignment="1">
      <alignment horizontal="center"/>
    </xf>
    <xf numFmtId="0" fontId="45" fillId="0" borderId="0" xfId="0" applyFont="1"/>
    <xf numFmtId="1" fontId="35" fillId="0" borderId="0" xfId="0" applyNumberFormat="1" applyFont="1" applyAlignment="1">
      <alignment horizontal="center"/>
    </xf>
    <xf numFmtId="165" fontId="9" fillId="0" borderId="0" xfId="0" applyNumberFormat="1" applyFont="1" applyFill="1" applyBorder="1" applyProtection="1"/>
    <xf numFmtId="2" fontId="9" fillId="0" borderId="0" xfId="0" applyNumberFormat="1" applyFont="1"/>
    <xf numFmtId="165" fontId="39" fillId="0" borderId="0" xfId="1" applyNumberFormat="1" applyFont="1" applyFill="1" applyBorder="1" applyProtection="1"/>
    <xf numFmtId="0" fontId="35" fillId="0" borderId="0" xfId="0" applyFont="1" applyFill="1" applyBorder="1" applyAlignment="1">
      <alignment horizontal="center"/>
    </xf>
    <xf numFmtId="164" fontId="10" fillId="0" borderId="2" xfId="0" applyNumberFormat="1" applyFont="1" applyBorder="1" applyAlignment="1" applyProtection="1">
      <alignment horizontal="center"/>
    </xf>
    <xf numFmtId="1" fontId="9" fillId="0" borderId="0" xfId="0" applyNumberFormat="1" applyFont="1" applyBorder="1" applyAlignment="1" applyProtection="1">
      <alignment horizontal="right"/>
    </xf>
    <xf numFmtId="0" fontId="34" fillId="0" borderId="0" xfId="0" applyFont="1" applyFill="1" applyBorder="1" applyProtection="1"/>
    <xf numFmtId="0" fontId="15" fillId="0" borderId="0" xfId="0" applyFont="1" applyAlignment="1">
      <alignment horizontal="left"/>
    </xf>
    <xf numFmtId="1" fontId="35" fillId="0" borderId="0" xfId="0" applyNumberFormat="1" applyFont="1" applyBorder="1" applyAlignment="1" applyProtection="1">
      <alignment horizontal="left"/>
    </xf>
    <xf numFmtId="0" fontId="9" fillId="0" borderId="0" xfId="0" applyFont="1" applyFill="1" applyBorder="1"/>
    <xf numFmtId="164" fontId="9" fillId="0" borderId="0" xfId="0" applyNumberFormat="1" applyFont="1" applyBorder="1" applyAlignment="1" applyProtection="1">
      <alignment horizontal="left"/>
    </xf>
    <xf numFmtId="0" fontId="44" fillId="0" borderId="0" xfId="0" applyFont="1" applyFill="1" applyBorder="1" applyAlignment="1" applyProtection="1">
      <alignment horizontal="center" wrapText="1"/>
    </xf>
    <xf numFmtId="0" fontId="43" fillId="0" borderId="0" xfId="0" applyFont="1" applyAlignment="1"/>
    <xf numFmtId="0" fontId="43" fillId="0" borderId="0" xfId="0" applyFont="1"/>
    <xf numFmtId="0" fontId="9" fillId="0" borderId="2" xfId="0" applyFont="1" applyBorder="1" applyAlignment="1"/>
    <xf numFmtId="164" fontId="12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6" fillId="0" borderId="0" xfId="0" applyFont="1" applyFill="1" applyAlignment="1" applyProtection="1">
      <alignment horizontal="center"/>
    </xf>
    <xf numFmtId="0" fontId="46" fillId="0" borderId="0" xfId="0" applyFont="1" applyFill="1" applyAlignment="1">
      <alignment horizontal="center"/>
    </xf>
    <xf numFmtId="2" fontId="46" fillId="0" borderId="0" xfId="0" applyNumberFormat="1" applyFont="1" applyFill="1" applyAlignment="1" applyProtection="1">
      <alignment horizontal="center"/>
    </xf>
    <xf numFmtId="0" fontId="47" fillId="0" borderId="0" xfId="0" applyFont="1" applyFill="1" applyAlignment="1">
      <alignment horizontal="center"/>
    </xf>
    <xf numFmtId="164" fontId="48" fillId="0" borderId="2" xfId="1" applyNumberFormat="1" applyFont="1" applyFill="1" applyBorder="1" applyAlignment="1" applyProtection="1">
      <alignment horizontal="center"/>
    </xf>
    <xf numFmtId="0" fontId="33" fillId="0" borderId="0" xfId="3" applyFont="1" applyBorder="1" applyAlignment="1">
      <alignment horizontal="left" wrapText="1"/>
    </xf>
    <xf numFmtId="0" fontId="50" fillId="0" borderId="0" xfId="0" applyFont="1" applyFill="1" applyAlignment="1" applyProtection="1">
      <alignment horizontal="center"/>
    </xf>
    <xf numFmtId="0" fontId="51" fillId="0" borderId="0" xfId="0" applyFont="1" applyAlignment="1">
      <alignment horizontal="left"/>
    </xf>
    <xf numFmtId="0" fontId="52" fillId="0" borderId="0" xfId="0" applyFont="1"/>
    <xf numFmtId="0" fontId="51" fillId="0" borderId="0" xfId="0" applyFont="1"/>
    <xf numFmtId="0" fontId="53" fillId="0" borderId="0" xfId="0" applyFont="1"/>
    <xf numFmtId="0" fontId="51" fillId="0" borderId="0" xfId="0" applyFont="1" applyProtection="1"/>
    <xf numFmtId="0" fontId="42" fillId="0" borderId="0" xfId="1" applyFont="1" applyFill="1" applyAlignment="1" applyProtection="1">
      <alignment horizontal="center"/>
    </xf>
    <xf numFmtId="2" fontId="30" fillId="0" borderId="0" xfId="0" applyNumberFormat="1" applyFont="1" applyAlignment="1"/>
    <xf numFmtId="2" fontId="31" fillId="0" borderId="0" xfId="0" applyNumberFormat="1" applyFont="1" applyAlignment="1"/>
    <xf numFmtId="0" fontId="0" fillId="0" borderId="0" xfId="0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49" fillId="0" borderId="0" xfId="0" applyFont="1"/>
    <xf numFmtId="0" fontId="51" fillId="0" borderId="0" xfId="0" applyFont="1" applyAlignment="1">
      <alignment horizontal="left" wrapText="1"/>
    </xf>
    <xf numFmtId="0" fontId="18" fillId="0" borderId="0" xfId="0" applyFont="1" applyAlignment="1" applyProtection="1"/>
    <xf numFmtId="164" fontId="10" fillId="0" borderId="0" xfId="0" applyNumberFormat="1" applyFont="1"/>
    <xf numFmtId="164" fontId="39" fillId="0" borderId="2" xfId="1" applyNumberFormat="1" applyFont="1" applyFill="1" applyBorder="1" applyAlignment="1">
      <alignment horizontal="center" wrapText="1"/>
    </xf>
    <xf numFmtId="1" fontId="10" fillId="0" borderId="0" xfId="0" applyNumberFormat="1" applyFont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wrapText="1"/>
    </xf>
    <xf numFmtId="0" fontId="55" fillId="0" borderId="0" xfId="0" applyFont="1" applyAlignment="1">
      <alignment horizontal="center" vertical="center"/>
    </xf>
    <xf numFmtId="167" fontId="56" fillId="0" borderId="0" xfId="0" applyNumberFormat="1" applyFont="1" applyAlignment="1">
      <alignment horizontal="center"/>
    </xf>
    <xf numFmtId="164" fontId="56" fillId="0" borderId="0" xfId="0" applyNumberFormat="1" applyFont="1" applyAlignment="1">
      <alignment horizontal="center"/>
    </xf>
    <xf numFmtId="2" fontId="57" fillId="0" borderId="0" xfId="0" applyNumberFormat="1" applyFont="1" applyAlignment="1">
      <alignment horizontal="center"/>
    </xf>
    <xf numFmtId="0" fontId="15" fillId="0" borderId="0" xfId="0" applyFont="1"/>
    <xf numFmtId="0" fontId="55" fillId="0" borderId="0" xfId="0" applyFont="1" applyAlignment="1">
      <alignment horizontal="left"/>
    </xf>
    <xf numFmtId="0" fontId="43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58" fillId="0" borderId="0" xfId="0" applyFont="1" applyFill="1" applyAlignment="1">
      <alignment horizontal="center"/>
    </xf>
    <xf numFmtId="0" fontId="10" fillId="0" borderId="0" xfId="0" applyFont="1" applyAlignment="1" applyProtection="1">
      <alignment wrapText="1"/>
    </xf>
    <xf numFmtId="0" fontId="42" fillId="4" borderId="0" xfId="0" applyFont="1" applyFill="1" applyBorder="1"/>
    <xf numFmtId="1" fontId="29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44" fontId="16" fillId="0" borderId="0" xfId="0" applyNumberFormat="1" applyFont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left" wrapText="1"/>
    </xf>
    <xf numFmtId="164" fontId="15" fillId="0" borderId="0" xfId="0" applyNumberFormat="1" applyFont="1" applyProtection="1"/>
    <xf numFmtId="164" fontId="0" fillId="0" borderId="0" xfId="0" applyNumberFormat="1" applyProtection="1"/>
    <xf numFmtId="164" fontId="10" fillId="0" borderId="0" xfId="0" applyNumberFormat="1" applyFont="1" applyProtection="1"/>
    <xf numFmtId="164" fontId="0" fillId="0" borderId="0" xfId="0" applyNumberFormat="1" applyFill="1" applyBorder="1" applyProtection="1"/>
    <xf numFmtId="164" fontId="13" fillId="0" borderId="0" xfId="0" applyNumberFormat="1" applyFont="1" applyFill="1" applyBorder="1" applyAlignment="1" applyProtection="1">
      <alignment horizontal="center" wrapText="1"/>
    </xf>
    <xf numFmtId="0" fontId="9" fillId="0" borderId="2" xfId="0" applyFont="1" applyBorder="1"/>
    <xf numFmtId="1" fontId="10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39" fillId="0" borderId="0" xfId="1" applyFont="1" applyFill="1" applyBorder="1" applyAlignment="1" applyProtection="1">
      <alignment horizontal="center"/>
    </xf>
    <xf numFmtId="164" fontId="39" fillId="0" borderId="2" xfId="1" applyNumberFormat="1" applyFont="1" applyFill="1" applyBorder="1" applyAlignment="1" applyProtection="1">
      <alignment horizontal="center"/>
    </xf>
    <xf numFmtId="2" fontId="9" fillId="0" borderId="0" xfId="4" applyNumberFormat="1" applyFont="1" applyFill="1" applyBorder="1" applyAlignment="1" applyProtection="1">
      <alignment horizontal="center"/>
    </xf>
    <xf numFmtId="164" fontId="11" fillId="0" borderId="0" xfId="0" applyNumberFormat="1" applyFont="1" applyProtection="1"/>
    <xf numFmtId="164" fontId="55" fillId="0" borderId="0" xfId="0" applyNumberFormat="1" applyFont="1" applyAlignment="1">
      <alignment horizontal="center"/>
    </xf>
    <xf numFmtId="164" fontId="10" fillId="0" borderId="0" xfId="0" applyNumberFormat="1" applyFont="1" applyBorder="1" applyAlignment="1" applyProtection="1">
      <alignment horizontal="center" wrapText="1"/>
    </xf>
    <xf numFmtId="164" fontId="0" fillId="0" borderId="0" xfId="0" applyNumberFormat="1" applyBorder="1" applyAlignment="1" applyProtection="1">
      <alignment horizontal="center"/>
    </xf>
    <xf numFmtId="164" fontId="9" fillId="0" borderId="0" xfId="0" applyNumberFormat="1" applyFont="1" applyBorder="1" applyAlignment="1" applyProtection="1">
      <alignment horizontal="center"/>
    </xf>
    <xf numFmtId="164" fontId="9" fillId="0" borderId="2" xfId="0" applyNumberFormat="1" applyFon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0" fontId="15" fillId="0" borderId="0" xfId="0" applyFont="1" applyFill="1" applyAlignment="1">
      <alignment wrapText="1"/>
    </xf>
    <xf numFmtId="2" fontId="35" fillId="0" borderId="0" xfId="0" applyNumberFormat="1" applyFont="1" applyProtection="1"/>
    <xf numFmtId="0" fontId="15" fillId="0" borderId="0" xfId="0" applyFont="1" applyAlignment="1" applyProtection="1">
      <alignment wrapText="1"/>
    </xf>
    <xf numFmtId="2" fontId="10" fillId="0" borderId="2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" wrapText="1"/>
    </xf>
    <xf numFmtId="2" fontId="14" fillId="0" borderId="0" xfId="0" applyNumberFormat="1" applyFont="1" applyFill="1" applyBorder="1" applyProtection="1"/>
    <xf numFmtId="0" fontId="21" fillId="0" borderId="0" xfId="0" applyFont="1" applyAlignment="1" applyProtection="1">
      <alignment wrapText="1"/>
    </xf>
    <xf numFmtId="0" fontId="15" fillId="0" borderId="0" xfId="0" applyFont="1" applyAlignment="1">
      <alignment wrapText="1"/>
    </xf>
    <xf numFmtId="0" fontId="22" fillId="0" borderId="0" xfId="0" applyFont="1" applyAlignment="1"/>
    <xf numFmtId="1" fontId="10" fillId="0" borderId="0" xfId="0" applyNumberFormat="1" applyFont="1" applyAlignment="1" applyProtection="1">
      <alignment horizontal="left"/>
    </xf>
    <xf numFmtId="1" fontId="10" fillId="0" borderId="0" xfId="0" applyNumberFormat="1" applyFont="1"/>
    <xf numFmtId="0" fontId="42" fillId="0" borderId="2" xfId="1" applyFont="1" applyFill="1" applyBorder="1" applyAlignment="1" applyProtection="1">
      <alignment horizontal="center"/>
    </xf>
    <xf numFmtId="0" fontId="60" fillId="0" borderId="2" xfId="1" applyFont="1" applyFill="1" applyBorder="1" applyAlignment="1" applyProtection="1">
      <alignment horizontal="center"/>
    </xf>
    <xf numFmtId="0" fontId="60" fillId="0" borderId="2" xfId="1" applyFont="1" applyFill="1" applyBorder="1" applyAlignment="1">
      <alignment horizontal="center"/>
    </xf>
    <xf numFmtId="0" fontId="9" fillId="5" borderId="2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center"/>
    </xf>
    <xf numFmtId="1" fontId="9" fillId="5" borderId="5" xfId="0" applyNumberFormat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1" fontId="9" fillId="5" borderId="2" xfId="0" applyNumberFormat="1" applyFont="1" applyFill="1" applyBorder="1" applyAlignment="1">
      <alignment horizontal="center"/>
    </xf>
    <xf numFmtId="0" fontId="9" fillId="0" borderId="2" xfId="5" applyFont="1" applyBorder="1" applyAlignment="1"/>
    <xf numFmtId="1" fontId="54" fillId="0" borderId="2" xfId="0" applyNumberFormat="1" applyFont="1" applyBorder="1" applyAlignment="1">
      <alignment horizontal="center"/>
    </xf>
    <xf numFmtId="1" fontId="54" fillId="0" borderId="6" xfId="0" applyNumberFormat="1" applyFont="1" applyBorder="1" applyAlignment="1">
      <alignment horizontal="center"/>
    </xf>
    <xf numFmtId="1" fontId="54" fillId="0" borderId="5" xfId="0" applyNumberFormat="1" applyFont="1" applyBorder="1" applyAlignment="1">
      <alignment horizontal="center"/>
    </xf>
    <xf numFmtId="1" fontId="54" fillId="0" borderId="7" xfId="0" applyNumberFormat="1" applyFont="1" applyBorder="1" applyAlignment="1">
      <alignment horizontal="center"/>
    </xf>
    <xf numFmtId="1" fontId="13" fillId="0" borderId="2" xfId="0" applyNumberFormat="1" applyFont="1" applyFill="1" applyBorder="1" applyAlignment="1" applyProtection="1">
      <alignment horizontal="center"/>
    </xf>
    <xf numFmtId="0" fontId="22" fillId="0" borderId="1" xfId="0" applyFont="1" applyBorder="1" applyAlignment="1">
      <alignment horizontal="left"/>
    </xf>
    <xf numFmtId="2" fontId="62" fillId="0" borderId="0" xfId="0" applyNumberFormat="1" applyFont="1" applyAlignment="1">
      <alignment horizontal="center"/>
    </xf>
    <xf numFmtId="164" fontId="62" fillId="0" borderId="0" xfId="0" applyNumberFormat="1" applyFont="1" applyFill="1" applyBorder="1" applyAlignment="1">
      <alignment horizontal="center"/>
    </xf>
    <xf numFmtId="0" fontId="62" fillId="0" borderId="0" xfId="0" applyFont="1" applyAlignment="1" applyProtection="1">
      <alignment horizontal="center"/>
    </xf>
    <xf numFmtId="164" fontId="39" fillId="0" borderId="2" xfId="1" applyNumberFormat="1" applyFont="1" applyFill="1" applyBorder="1" applyAlignment="1">
      <alignment horizontal="center"/>
    </xf>
    <xf numFmtId="44" fontId="10" fillId="0" borderId="0" xfId="6" applyFont="1" applyAlignment="1">
      <alignment horizontal="right"/>
    </xf>
    <xf numFmtId="0" fontId="63" fillId="0" borderId="0" xfId="0" applyFont="1"/>
    <xf numFmtId="164" fontId="64" fillId="0" borderId="2" xfId="0" applyNumberFormat="1" applyFont="1" applyBorder="1" applyAlignment="1">
      <alignment horizontal="center"/>
    </xf>
    <xf numFmtId="1" fontId="65" fillId="0" borderId="0" xfId="0" applyNumberFormat="1" applyFont="1" applyFill="1" applyAlignment="1">
      <alignment horizontal="center"/>
    </xf>
    <xf numFmtId="164" fontId="49" fillId="0" borderId="0" xfId="0" applyNumberFormat="1" applyFont="1" applyFill="1" applyAlignment="1" applyProtection="1">
      <alignment horizontal="center"/>
    </xf>
    <xf numFmtId="0" fontId="63" fillId="0" borderId="0" xfId="0" applyFont="1" applyAlignment="1">
      <alignment horizontal="left"/>
    </xf>
    <xf numFmtId="164" fontId="64" fillId="0" borderId="2" xfId="0" applyNumberFormat="1" applyFont="1" applyFill="1" applyBorder="1" applyAlignment="1">
      <alignment horizontal="center"/>
    </xf>
    <xf numFmtId="1" fontId="39" fillId="0" borderId="2" xfId="1" applyNumberFormat="1" applyFont="1" applyFill="1" applyBorder="1" applyAlignment="1">
      <alignment horizontal="center"/>
    </xf>
    <xf numFmtId="0" fontId="9" fillId="0" borderId="2" xfId="4" applyFont="1" applyBorder="1" applyAlignment="1">
      <alignment horizontal="center"/>
    </xf>
    <xf numFmtId="0" fontId="9" fillId="0" borderId="6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7" xfId="4" applyFont="1" applyBorder="1" applyAlignment="1">
      <alignment horizontal="center"/>
    </xf>
    <xf numFmtId="164" fontId="72" fillId="0" borderId="5" xfId="0" applyNumberFormat="1" applyFont="1" applyBorder="1" applyAlignment="1">
      <alignment horizontal="center"/>
    </xf>
    <xf numFmtId="164" fontId="72" fillId="0" borderId="2" xfId="0" applyNumberFormat="1" applyFont="1" applyBorder="1" applyAlignment="1">
      <alignment horizontal="center"/>
    </xf>
    <xf numFmtId="164" fontId="72" fillId="0" borderId="6" xfId="0" applyNumberFormat="1" applyFont="1" applyBorder="1" applyAlignment="1">
      <alignment horizontal="center"/>
    </xf>
    <xf numFmtId="164" fontId="73" fillId="0" borderId="2" xfId="1" applyNumberFormat="1" applyFont="1" applyFill="1" applyBorder="1" applyAlignment="1" applyProtection="1">
      <alignment horizontal="center"/>
    </xf>
    <xf numFmtId="164" fontId="72" fillId="0" borderId="7" xfId="0" applyNumberFormat="1" applyFont="1" applyBorder="1" applyAlignment="1">
      <alignment horizontal="center"/>
    </xf>
    <xf numFmtId="0" fontId="74" fillId="0" borderId="0" xfId="0" applyFont="1" applyFill="1" applyAlignment="1">
      <alignment horizontal="center"/>
    </xf>
    <xf numFmtId="0" fontId="73" fillId="0" borderId="0" xfId="1" applyFont="1" applyFill="1" applyAlignment="1" applyProtection="1">
      <alignment horizontal="center"/>
    </xf>
    <xf numFmtId="0" fontId="55" fillId="0" borderId="8" xfId="0" applyFont="1" applyBorder="1" applyAlignment="1">
      <alignment horizontal="center"/>
    </xf>
    <xf numFmtId="1" fontId="54" fillId="3" borderId="5" xfId="4" applyNumberFormat="1" applyFont="1" applyFill="1" applyBorder="1" applyAlignment="1">
      <alignment horizontal="center"/>
    </xf>
    <xf numFmtId="164" fontId="61" fillId="0" borderId="0" xfId="0" applyNumberFormat="1" applyFont="1" applyFill="1" applyAlignment="1" applyProtection="1">
      <alignment horizontal="center"/>
    </xf>
    <xf numFmtId="165" fontId="14" fillId="0" borderId="0" xfId="0" applyNumberFormat="1" applyFont="1" applyFill="1" applyBorder="1" applyAlignment="1" applyProtection="1">
      <alignment horizontal="left"/>
    </xf>
    <xf numFmtId="164" fontId="14" fillId="0" borderId="0" xfId="0" applyNumberFormat="1" applyFont="1" applyFill="1" applyBorder="1" applyAlignment="1" applyProtection="1">
      <alignment horizontal="left"/>
    </xf>
    <xf numFmtId="49" fontId="9" fillId="0" borderId="0" xfId="0" applyNumberFormat="1" applyFont="1" applyAlignment="1">
      <alignment horizontal="center"/>
    </xf>
    <xf numFmtId="0" fontId="64" fillId="0" borderId="0" xfId="0" applyFont="1"/>
    <xf numFmtId="0" fontId="49" fillId="0" borderId="0" xfId="0" applyFont="1" applyAlignment="1">
      <alignment horizontal="center"/>
    </xf>
    <xf numFmtId="0" fontId="49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 wrapText="1"/>
    </xf>
    <xf numFmtId="0" fontId="9" fillId="0" borderId="0" xfId="0" applyFont="1" applyAlignment="1">
      <alignment horizontal="center" wrapText="1"/>
    </xf>
    <xf numFmtId="1" fontId="9" fillId="0" borderId="0" xfId="4" applyNumberFormat="1" applyFont="1" applyFill="1" applyBorder="1" applyAlignment="1" applyProtection="1">
      <alignment horizontal="center"/>
    </xf>
    <xf numFmtId="166" fontId="9" fillId="0" borderId="9" xfId="4" applyNumberFormat="1" applyFont="1" applyBorder="1" applyAlignment="1">
      <alignment horizontal="center"/>
    </xf>
    <xf numFmtId="0" fontId="9" fillId="0" borderId="9" xfId="4" applyFont="1" applyBorder="1" applyAlignment="1">
      <alignment horizontal="center"/>
    </xf>
    <xf numFmtId="166" fontId="9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9" fillId="3" borderId="2" xfId="0" applyNumberFormat="1" applyFont="1" applyFill="1" applyBorder="1" applyAlignment="1">
      <alignment horizontal="center"/>
    </xf>
    <xf numFmtId="2" fontId="9" fillId="3" borderId="5" xfId="0" applyNumberFormat="1" applyFont="1" applyFill="1" applyBorder="1" applyAlignment="1">
      <alignment horizontal="center"/>
    </xf>
    <xf numFmtId="170" fontId="9" fillId="0" borderId="2" xfId="0" applyNumberFormat="1" applyFont="1" applyBorder="1" applyAlignment="1">
      <alignment horizontal="center"/>
    </xf>
    <xf numFmtId="166" fontId="9" fillId="0" borderId="6" xfId="0" applyNumberFormat="1" applyFont="1" applyBorder="1" applyAlignment="1">
      <alignment horizontal="center"/>
    </xf>
    <xf numFmtId="170" fontId="9" fillId="0" borderId="5" xfId="0" applyNumberFormat="1" applyFont="1" applyBorder="1" applyAlignment="1">
      <alignment horizontal="center"/>
    </xf>
    <xf numFmtId="166" fontId="9" fillId="0" borderId="7" xfId="0" applyNumberFormat="1" applyFont="1" applyBorder="1" applyAlignment="1">
      <alignment horizontal="center"/>
    </xf>
    <xf numFmtId="0" fontId="10" fillId="0" borderId="0" xfId="0" applyFont="1" applyAlignment="1" applyProtection="1">
      <alignment horizontal="center"/>
    </xf>
    <xf numFmtId="0" fontId="0" fillId="0" borderId="0" xfId="0" applyProtection="1"/>
    <xf numFmtId="0" fontId="10" fillId="0" borderId="0" xfId="0" applyFont="1" applyProtection="1"/>
    <xf numFmtId="1" fontId="10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" fontId="14" fillId="0" borderId="0" xfId="0" applyNumberFormat="1" applyFont="1" applyAlignment="1" applyProtection="1">
      <alignment horizontal="right"/>
    </xf>
    <xf numFmtId="1" fontId="13" fillId="0" borderId="0" xfId="0" applyNumberFormat="1" applyFont="1" applyAlignment="1" applyProtection="1">
      <alignment horizontal="center"/>
    </xf>
    <xf numFmtId="0" fontId="0" fillId="0" borderId="0" xfId="0" applyAlignment="1">
      <alignment vertical="top" wrapText="1"/>
    </xf>
    <xf numFmtId="1" fontId="26" fillId="0" borderId="0" xfId="0" applyNumberFormat="1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9" fillId="0" borderId="0" xfId="4" applyFont="1" applyAlignment="1">
      <alignment horizontal="left"/>
    </xf>
    <xf numFmtId="0" fontId="9" fillId="0" borderId="0" xfId="4" applyFont="1" applyAlignment="1">
      <alignment horizontal="left" wrapText="1"/>
    </xf>
    <xf numFmtId="0" fontId="76" fillId="0" borderId="0" xfId="4" applyFont="1" applyAlignment="1">
      <alignment horizontal="left"/>
    </xf>
    <xf numFmtId="0" fontId="39" fillId="0" borderId="2" xfId="1" applyFont="1" applyFill="1" applyBorder="1" applyAlignment="1" applyProtection="1">
      <alignment horizontal="center"/>
    </xf>
    <xf numFmtId="0" fontId="65" fillId="0" borderId="2" xfId="0" applyFont="1" applyBorder="1" applyAlignment="1" applyProtection="1">
      <alignment horizontal="left"/>
    </xf>
    <xf numFmtId="0" fontId="65" fillId="0" borderId="2" xfId="0" applyFont="1" applyBorder="1" applyAlignment="1">
      <alignment horizontal="left"/>
    </xf>
    <xf numFmtId="0" fontId="65" fillId="0" borderId="2" xfId="0" applyFont="1" applyFill="1" applyBorder="1" applyAlignment="1" applyProtection="1">
      <alignment horizontal="left"/>
    </xf>
    <xf numFmtId="0" fontId="65" fillId="0" borderId="2" xfId="0" applyFont="1" applyFill="1" applyBorder="1" applyAlignment="1" applyProtection="1">
      <alignment horizontal="left" wrapText="1"/>
    </xf>
    <xf numFmtId="0" fontId="65" fillId="0" borderId="2" xfId="0" applyFont="1" applyBorder="1"/>
    <xf numFmtId="0" fontId="65" fillId="0" borderId="2" xfId="1" applyFont="1" applyFill="1" applyBorder="1"/>
    <xf numFmtId="1" fontId="65" fillId="0" borderId="2" xfId="0" applyNumberFormat="1" applyFont="1" applyBorder="1" applyAlignment="1" applyProtection="1">
      <alignment horizontal="center"/>
    </xf>
    <xf numFmtId="1" fontId="65" fillId="0" borderId="2" xfId="0" applyNumberFormat="1" applyFont="1" applyBorder="1" applyAlignment="1" applyProtection="1">
      <alignment horizontal="right"/>
    </xf>
    <xf numFmtId="1" fontId="16" fillId="0" borderId="0" xfId="0" applyNumberFormat="1" applyFont="1"/>
    <xf numFmtId="1" fontId="16" fillId="0" borderId="0" xfId="0" applyNumberFormat="1" applyFont="1" applyProtection="1"/>
    <xf numFmtId="1" fontId="63" fillId="0" borderId="0" xfId="0" applyNumberFormat="1" applyFont="1" applyAlignment="1" applyProtection="1">
      <alignment horizontal="center"/>
    </xf>
    <xf numFmtId="0" fontId="12" fillId="5" borderId="0" xfId="0" applyFont="1" applyFill="1" applyProtection="1"/>
    <xf numFmtId="0" fontId="65" fillId="5" borderId="2" xfId="0" applyFont="1" applyFill="1" applyBorder="1"/>
    <xf numFmtId="0" fontId="77" fillId="5" borderId="2" xfId="0" applyFont="1" applyFill="1" applyBorder="1"/>
    <xf numFmtId="0" fontId="9" fillId="0" borderId="0" xfId="0" applyFont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8" xfId="0" applyBorder="1" applyAlignment="1">
      <alignment wrapText="1"/>
    </xf>
    <xf numFmtId="0" fontId="78" fillId="0" borderId="0" xfId="0" applyFont="1" applyFill="1" applyBorder="1" applyProtection="1"/>
    <xf numFmtId="1" fontId="9" fillId="0" borderId="11" xfId="0" applyNumberFormat="1" applyFont="1" applyBorder="1" applyAlignment="1">
      <alignment horizontal="center"/>
    </xf>
    <xf numFmtId="1" fontId="0" fillId="0" borderId="12" xfId="0" applyNumberFormat="1" applyBorder="1" applyAlignment="1" applyProtection="1">
      <alignment horizontal="center"/>
    </xf>
    <xf numFmtId="1" fontId="9" fillId="0" borderId="3" xfId="0" applyNumberFormat="1" applyFont="1" applyBorder="1" applyAlignment="1">
      <alignment horizontal="center"/>
    </xf>
    <xf numFmtId="1" fontId="0" fillId="0" borderId="4" xfId="0" applyNumberFormat="1" applyBorder="1" applyAlignment="1" applyProtection="1">
      <alignment horizontal="center"/>
    </xf>
    <xf numFmtId="1" fontId="9" fillId="0" borderId="4" xfId="0" applyNumberFormat="1" applyFont="1" applyBorder="1" applyAlignment="1" applyProtection="1">
      <alignment horizontal="center"/>
    </xf>
    <xf numFmtId="1" fontId="9" fillId="0" borderId="13" xfId="0" applyNumberFormat="1" applyFont="1" applyBorder="1" applyAlignment="1">
      <alignment horizontal="center"/>
    </xf>
    <xf numFmtId="1" fontId="10" fillId="0" borderId="14" xfId="0" applyNumberFormat="1" applyFont="1" applyBorder="1" applyAlignment="1">
      <alignment horizontal="center"/>
    </xf>
    <xf numFmtId="0" fontId="61" fillId="0" borderId="0" xfId="0" applyFont="1" applyProtection="1"/>
    <xf numFmtId="0" fontId="63" fillId="5" borderId="0" xfId="0" applyFont="1" applyFill="1"/>
    <xf numFmtId="164" fontId="54" fillId="6" borderId="2" xfId="0" applyNumberFormat="1" applyFont="1" applyFill="1" applyBorder="1" applyAlignment="1">
      <alignment horizontal="center"/>
    </xf>
    <xf numFmtId="164" fontId="54" fillId="6" borderId="5" xfId="0" applyNumberFormat="1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center"/>
    </xf>
    <xf numFmtId="164" fontId="64" fillId="0" borderId="0" xfId="0" applyNumberFormat="1" applyFont="1" applyFill="1" applyAlignment="1" applyProtection="1">
      <alignment horizontal="center"/>
    </xf>
    <xf numFmtId="164" fontId="62" fillId="0" borderId="2" xfId="0" applyNumberFormat="1" applyFont="1" applyBorder="1" applyAlignment="1">
      <alignment horizontal="center"/>
    </xf>
    <xf numFmtId="164" fontId="61" fillId="0" borderId="0" xfId="0" applyNumberFormat="1" applyFont="1" applyAlignment="1" applyProtection="1">
      <alignment horizontal="center"/>
    </xf>
    <xf numFmtId="0" fontId="0" fillId="5" borderId="0" xfId="0" applyFill="1" applyAlignment="1" applyProtection="1">
      <alignment horizontal="right"/>
    </xf>
    <xf numFmtId="0" fontId="0" fillId="5" borderId="0" xfId="0" applyFill="1"/>
    <xf numFmtId="2" fontId="9" fillId="0" borderId="9" xfId="0" applyNumberFormat="1" applyFont="1" applyBorder="1" applyAlignment="1">
      <alignment horizontal="center"/>
    </xf>
    <xf numFmtId="1" fontId="74" fillId="0" borderId="0" xfId="0" applyNumberFormat="1" applyFont="1" applyAlignment="1" applyProtection="1">
      <alignment horizontal="left"/>
    </xf>
    <xf numFmtId="0" fontId="43" fillId="0" borderId="2" xfId="0" applyFont="1" applyBorder="1" applyAlignment="1"/>
    <xf numFmtId="0" fontId="65" fillId="0" borderId="2" xfId="1" applyFont="1" applyFill="1" applyBorder="1" applyAlignment="1"/>
    <xf numFmtId="0" fontId="62" fillId="0" borderId="0" xfId="0" applyFont="1" applyAlignment="1">
      <alignment horizontal="center" vertical="top" wrapText="1"/>
    </xf>
    <xf numFmtId="2" fontId="9" fillId="0" borderId="2" xfId="4" applyNumberFormat="1" applyFont="1" applyBorder="1" applyAlignment="1">
      <alignment horizontal="center"/>
    </xf>
    <xf numFmtId="2" fontId="9" fillId="0" borderId="9" xfId="4" applyNumberFormat="1" applyFont="1" applyBorder="1" applyAlignment="1">
      <alignment horizontal="center"/>
    </xf>
    <xf numFmtId="1" fontId="9" fillId="0" borderId="9" xfId="4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wrapText="1"/>
    </xf>
    <xf numFmtId="0" fontId="48" fillId="0" borderId="2" xfId="1" applyFont="1" applyFill="1" applyBorder="1"/>
    <xf numFmtId="0" fontId="65" fillId="0" borderId="2" xfId="0" applyFont="1" applyBorder="1" applyAlignment="1" applyProtection="1">
      <alignment horizontal="left" wrapText="1"/>
    </xf>
    <xf numFmtId="1" fontId="10" fillId="0" borderId="2" xfId="0" applyNumberFormat="1" applyFont="1" applyBorder="1" applyAlignment="1" applyProtection="1">
      <alignment horizontal="center"/>
    </xf>
    <xf numFmtId="1" fontId="10" fillId="0" borderId="2" xfId="0" applyNumberFormat="1" applyFont="1" applyBorder="1" applyAlignment="1" applyProtection="1">
      <alignment horizontal="right"/>
    </xf>
    <xf numFmtId="1" fontId="13" fillId="0" borderId="2" xfId="0" applyNumberFormat="1" applyFont="1" applyBorder="1" applyAlignment="1" applyProtection="1">
      <alignment horizontal="right"/>
    </xf>
    <xf numFmtId="0" fontId="10" fillId="0" borderId="2" xfId="0" applyFont="1" applyBorder="1"/>
    <xf numFmtId="0" fontId="10" fillId="0" borderId="2" xfId="0" applyFont="1" applyBorder="1" applyAlignment="1">
      <alignment horizontal="left"/>
    </xf>
    <xf numFmtId="2" fontId="10" fillId="0" borderId="0" xfId="0" applyNumberFormat="1" applyFont="1" applyAlignment="1" applyProtection="1">
      <alignment horizontal="center"/>
    </xf>
    <xf numFmtId="166" fontId="26" fillId="0" borderId="0" xfId="0" applyNumberFormat="1" applyFont="1" applyAlignment="1" applyProtection="1">
      <alignment horizontal="center"/>
    </xf>
    <xf numFmtId="170" fontId="10" fillId="0" borderId="0" xfId="0" applyNumberFormat="1" applyFont="1" applyAlignment="1" applyProtection="1">
      <alignment horizontal="center"/>
    </xf>
    <xf numFmtId="0" fontId="10" fillId="0" borderId="2" xfId="0" applyFont="1" applyBorder="1" applyAlignment="1">
      <alignment horizontal="center"/>
    </xf>
    <xf numFmtId="165" fontId="14" fillId="0" borderId="0" xfId="0" applyNumberFormat="1" applyFont="1" applyFill="1" applyBorder="1" applyAlignment="1" applyProtection="1">
      <alignment horizontal="left"/>
    </xf>
    <xf numFmtId="0" fontId="62" fillId="0" borderId="0" xfId="0" applyFont="1"/>
    <xf numFmtId="0" fontId="0" fillId="5" borderId="2" xfId="0" applyFill="1" applyBorder="1" applyProtection="1"/>
    <xf numFmtId="0" fontId="0" fillId="5" borderId="2" xfId="0" applyFill="1" applyBorder="1" applyAlignment="1" applyProtection="1">
      <alignment horizontal="center"/>
    </xf>
    <xf numFmtId="0" fontId="10" fillId="5" borderId="2" xfId="0" applyFont="1" applyFill="1" applyBorder="1" applyProtection="1"/>
    <xf numFmtId="0" fontId="12" fillId="5" borderId="2" xfId="0" applyFont="1" applyFill="1" applyBorder="1" applyProtection="1"/>
    <xf numFmtId="1" fontId="0" fillId="5" borderId="2" xfId="0" applyNumberFormat="1" applyFill="1" applyBorder="1" applyProtection="1"/>
    <xf numFmtId="0" fontId="10" fillId="5" borderId="2" xfId="0" applyFont="1" applyFill="1" applyBorder="1" applyAlignment="1" applyProtection="1">
      <alignment horizontal="center"/>
    </xf>
    <xf numFmtId="0" fontId="0" fillId="0" borderId="2" xfId="0" applyBorder="1"/>
    <xf numFmtId="1" fontId="10" fillId="5" borderId="2" xfId="0" applyNumberFormat="1" applyFont="1" applyFill="1" applyBorder="1" applyAlignment="1" applyProtection="1">
      <alignment horizontal="center"/>
    </xf>
    <xf numFmtId="0" fontId="17" fillId="0" borderId="2" xfId="0" applyFont="1" applyBorder="1"/>
    <xf numFmtId="0" fontId="10" fillId="5" borderId="2" xfId="0" applyFont="1" applyFill="1" applyBorder="1" applyAlignment="1" applyProtection="1">
      <alignment horizontal="center" wrapText="1"/>
    </xf>
    <xf numFmtId="0" fontId="10" fillId="5" borderId="2" xfId="0" applyFont="1" applyFill="1" applyBorder="1" applyAlignment="1">
      <alignment horizontal="center"/>
    </xf>
    <xf numFmtId="0" fontId="10" fillId="0" borderId="2" xfId="0" applyFont="1" applyBorder="1" applyAlignment="1" applyProtection="1">
      <alignment horizontal="center"/>
    </xf>
    <xf numFmtId="164" fontId="64" fillId="5" borderId="2" xfId="0" applyNumberFormat="1" applyFont="1" applyFill="1" applyBorder="1" applyAlignment="1" applyProtection="1">
      <alignment horizontal="center"/>
    </xf>
    <xf numFmtId="164" fontId="64" fillId="5" borderId="2" xfId="0" applyNumberFormat="1" applyFont="1" applyFill="1" applyBorder="1" applyAlignment="1">
      <alignment horizontal="center"/>
    </xf>
    <xf numFmtId="1" fontId="64" fillId="5" borderId="2" xfId="0" applyNumberFormat="1" applyFont="1" applyFill="1" applyBorder="1" applyAlignment="1" applyProtection="1">
      <alignment horizontal="center"/>
    </xf>
    <xf numFmtId="164" fontId="9" fillId="5" borderId="2" xfId="0" applyNumberFormat="1" applyFont="1" applyFill="1" applyBorder="1" applyAlignment="1" applyProtection="1">
      <alignment horizontal="center"/>
    </xf>
    <xf numFmtId="1" fontId="64" fillId="5" borderId="2" xfId="0" applyNumberFormat="1" applyFont="1" applyFill="1" applyBorder="1" applyAlignment="1">
      <alignment horizontal="center"/>
    </xf>
    <xf numFmtId="164" fontId="64" fillId="0" borderId="2" xfId="0" applyNumberFormat="1" applyFont="1" applyBorder="1" applyAlignment="1">
      <alignment horizontal="right" indent="3"/>
    </xf>
    <xf numFmtId="0" fontId="12" fillId="0" borderId="0" xfId="0" applyFont="1" applyAlignment="1">
      <alignment wrapText="1"/>
    </xf>
    <xf numFmtId="1" fontId="12" fillId="0" borderId="0" xfId="0" applyNumberFormat="1" applyFont="1" applyAlignment="1" applyProtection="1">
      <alignment horizontal="center" wrapText="1"/>
    </xf>
    <xf numFmtId="0" fontId="12" fillId="0" borderId="0" xfId="0" applyFont="1" applyAlignment="1" applyProtection="1">
      <alignment wrapText="1"/>
    </xf>
    <xf numFmtId="1" fontId="12" fillId="0" borderId="0" xfId="0" applyNumberFormat="1" applyFont="1" applyAlignment="1" applyProtection="1">
      <alignment wrapText="1"/>
    </xf>
    <xf numFmtId="0" fontId="12" fillId="0" borderId="0" xfId="0" applyFont="1" applyAlignment="1" applyProtection="1">
      <alignment horizontal="center" wrapText="1"/>
    </xf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10" fillId="0" borderId="2" xfId="0" applyFont="1" applyFill="1" applyBorder="1"/>
    <xf numFmtId="0" fontId="65" fillId="0" borderId="0" xfId="0" applyFont="1" applyFill="1" applyBorder="1" applyAlignment="1" applyProtection="1">
      <alignment horizontal="left" wrapText="1"/>
    </xf>
    <xf numFmtId="0" fontId="65" fillId="0" borderId="2" xfId="3" applyFont="1" applyBorder="1" applyAlignment="1">
      <alignment wrapText="1"/>
    </xf>
    <xf numFmtId="0" fontId="49" fillId="0" borderId="0" xfId="3" applyFont="1" applyBorder="1" applyAlignment="1">
      <alignment horizontal="left"/>
    </xf>
    <xf numFmtId="0" fontId="65" fillId="0" borderId="2" xfId="3" applyFont="1" applyBorder="1" applyAlignment="1">
      <alignment horizontal="left" wrapText="1"/>
    </xf>
    <xf numFmtId="49" fontId="65" fillId="0" borderId="2" xfId="1" applyNumberFormat="1" applyFont="1" applyFill="1" applyBorder="1" applyAlignment="1"/>
    <xf numFmtId="0" fontId="65" fillId="0" borderId="2" xfId="1" applyFont="1" applyFill="1" applyBorder="1" applyAlignment="1"/>
    <xf numFmtId="0" fontId="65" fillId="0" borderId="2" xfId="3" applyFont="1" applyBorder="1" applyAlignment="1"/>
    <xf numFmtId="0" fontId="65" fillId="0" borderId="2" xfId="3" applyFont="1" applyBorder="1" applyAlignment="1">
      <alignment horizontal="left"/>
    </xf>
    <xf numFmtId="49" fontId="65" fillId="0" borderId="2" xfId="3" applyNumberFormat="1" applyFont="1" applyBorder="1" applyAlignment="1">
      <alignment wrapText="1"/>
    </xf>
    <xf numFmtId="0" fontId="62" fillId="0" borderId="0" xfId="0" applyFont="1" applyAlignment="1">
      <alignment vertical="top" wrapText="1"/>
    </xf>
    <xf numFmtId="0" fontId="68" fillId="0" borderId="0" xfId="0" applyFont="1" applyAlignment="1">
      <alignment horizontal="center" vertical="top" wrapText="1"/>
    </xf>
    <xf numFmtId="0" fontId="66" fillId="0" borderId="0" xfId="0" applyFont="1" applyAlignment="1">
      <alignment horizontal="center" vertical="top" wrapText="1"/>
    </xf>
    <xf numFmtId="0" fontId="63" fillId="0" borderId="0" xfId="0" applyFont="1" applyAlignment="1">
      <alignment horizontal="center" vertical="top" wrapText="1"/>
    </xf>
    <xf numFmtId="0" fontId="62" fillId="0" borderId="0" xfId="0" applyFont="1" applyAlignment="1">
      <alignment horizontal="center" vertical="top" wrapText="1"/>
    </xf>
    <xf numFmtId="0" fontId="70" fillId="0" borderId="0" xfId="0" applyFont="1" applyAlignment="1">
      <alignment horizontal="center" vertical="top" wrapText="1"/>
    </xf>
    <xf numFmtId="0" fontId="71" fillId="0" borderId="0" xfId="0" applyFont="1" applyAlignment="1">
      <alignment horizontal="center" vertical="top" wrapText="1"/>
    </xf>
    <xf numFmtId="0" fontId="69" fillId="0" borderId="0" xfId="0" applyFont="1" applyAlignment="1">
      <alignment horizontal="center" vertical="top" wrapText="1"/>
    </xf>
    <xf numFmtId="0" fontId="67" fillId="0" borderId="0" xfId="0" applyFont="1" applyAlignment="1">
      <alignment horizontal="center" vertical="top" wrapText="1"/>
    </xf>
    <xf numFmtId="0" fontId="15" fillId="0" borderId="0" xfId="0" applyFont="1" applyAlignment="1" applyProtection="1">
      <alignment horizontal="left"/>
    </xf>
    <xf numFmtId="165" fontId="14" fillId="0" borderId="0" xfId="0" applyNumberFormat="1" applyFont="1" applyFill="1" applyBorder="1" applyAlignment="1" applyProtection="1">
      <alignment horizontal="left"/>
    </xf>
  </cellXfs>
  <cellStyles count="40">
    <cellStyle name="Bad" xfId="1" builtinId="27"/>
    <cellStyle name="Currency" xfId="2" builtinId="4"/>
    <cellStyle name="Currency 2" xfId="6"/>
    <cellStyle name="Hyperlink" xfId="5" builtinId="8"/>
    <cellStyle name="Hyperlink 2" xfId="19"/>
    <cellStyle name="Hyperlink 2 2" xfId="36"/>
    <cellStyle name="Normal" xfId="0" builtinId="0"/>
    <cellStyle name="Normal 2" xfId="3"/>
    <cellStyle name="Normal 2 2" xfId="7"/>
    <cellStyle name="Normal 2 2 2" xfId="11"/>
    <cellStyle name="Normal 2 2 2 2" xfId="28"/>
    <cellStyle name="Normal 2 2 3" xfId="15"/>
    <cellStyle name="Normal 2 2 3 2" xfId="32"/>
    <cellStyle name="Normal 2 2 4" xfId="20"/>
    <cellStyle name="Normal 2 2 4 2" xfId="37"/>
    <cellStyle name="Normal 2 2 5" xfId="24"/>
    <cellStyle name="Normal 2 3" xfId="8"/>
    <cellStyle name="Normal 2 3 2" xfId="12"/>
    <cellStyle name="Normal 2 3 2 2" xfId="29"/>
    <cellStyle name="Normal 2 3 3" xfId="16"/>
    <cellStyle name="Normal 2 3 3 2" xfId="33"/>
    <cellStyle name="Normal 2 3 4" xfId="21"/>
    <cellStyle name="Normal 2 3 4 2" xfId="38"/>
    <cellStyle name="Normal 2 3 5" xfId="25"/>
    <cellStyle name="Normal 2 4" xfId="9"/>
    <cellStyle name="Normal 2 4 2" xfId="13"/>
    <cellStyle name="Normal 2 4 2 2" xfId="30"/>
    <cellStyle name="Normal 2 4 3" xfId="17"/>
    <cellStyle name="Normal 2 4 3 2" xfId="34"/>
    <cellStyle name="Normal 2 4 4" xfId="22"/>
    <cellStyle name="Normal 2 4 4 2" xfId="39"/>
    <cellStyle name="Normal 2 4 5" xfId="26"/>
    <cellStyle name="Normal 2 5" xfId="10"/>
    <cellStyle name="Normal 2 5 2" xfId="27"/>
    <cellStyle name="Normal 2 6" xfId="14"/>
    <cellStyle name="Normal 2 6 2" xfId="31"/>
    <cellStyle name="Normal 2 7" xfId="18"/>
    <cellStyle name="Normal 2 7 2" xfId="35"/>
    <cellStyle name="Normal 2 8" xfId="2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34</xdr:row>
      <xdr:rowOff>9525</xdr:rowOff>
    </xdr:from>
    <xdr:to>
      <xdr:col>54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61"/>
  <sheetViews>
    <sheetView tabSelected="1" zoomScaleNormal="100" zoomScalePageLayoutView="125" workbookViewId="0"/>
  </sheetViews>
  <sheetFormatPr defaultColWidth="8.85546875" defaultRowHeight="12.75"/>
  <cols>
    <col min="1" max="1" width="5.5703125" customWidth="1"/>
    <col min="2" max="2" width="50.42578125" customWidth="1"/>
    <col min="3" max="3" width="14.85546875" customWidth="1"/>
    <col min="4" max="4" width="11.85546875" style="3" customWidth="1"/>
    <col min="5" max="5" width="10.42578125" customWidth="1"/>
    <col min="6" max="6" width="12.85546875" customWidth="1"/>
    <col min="7" max="7" width="12.42578125" customWidth="1"/>
    <col min="8" max="8" width="14.85546875" customWidth="1"/>
    <col min="9" max="9" width="11.42578125" customWidth="1"/>
    <col min="10" max="10" width="15.42578125" customWidth="1"/>
    <col min="11" max="11" width="15.42578125" style="169" customWidth="1"/>
    <col min="12" max="12" width="15.42578125" style="3" customWidth="1"/>
    <col min="13" max="13" width="9.42578125" customWidth="1"/>
    <col min="14" max="14" width="12.42578125" customWidth="1"/>
    <col min="15" max="15" width="11.140625" customWidth="1"/>
    <col min="16" max="16" width="12.42578125" customWidth="1"/>
    <col min="17" max="17" width="15.42578125" customWidth="1"/>
  </cols>
  <sheetData>
    <row r="1" spans="1:20" ht="18.75">
      <c r="B1" s="347" t="s">
        <v>42</v>
      </c>
      <c r="C1" s="489"/>
      <c r="D1" s="490"/>
      <c r="E1" s="489"/>
      <c r="F1" s="489"/>
      <c r="G1" s="491" t="s">
        <v>141</v>
      </c>
      <c r="H1" s="492"/>
      <c r="I1" s="489"/>
      <c r="J1" s="489"/>
      <c r="K1" s="493"/>
      <c r="L1" s="494" t="s">
        <v>85</v>
      </c>
      <c r="M1" s="489"/>
      <c r="N1" s="489"/>
      <c r="O1" s="489"/>
      <c r="P1" s="489"/>
      <c r="Q1" s="495"/>
    </row>
    <row r="2" spans="1:20">
      <c r="B2" s="6"/>
      <c r="C2" s="494" t="s">
        <v>21</v>
      </c>
      <c r="D2" s="494" t="s">
        <v>5</v>
      </c>
      <c r="E2" s="489"/>
      <c r="F2" s="494" t="s">
        <v>45</v>
      </c>
      <c r="G2" s="494" t="s">
        <v>38</v>
      </c>
      <c r="H2" s="492"/>
      <c r="I2" s="489"/>
      <c r="J2" s="489"/>
      <c r="K2" s="496" t="s">
        <v>84</v>
      </c>
      <c r="L2" s="494" t="s">
        <v>76</v>
      </c>
      <c r="M2" s="494" t="s">
        <v>40</v>
      </c>
      <c r="N2" s="494" t="s">
        <v>43</v>
      </c>
      <c r="O2" s="491" t="s">
        <v>61</v>
      </c>
      <c r="P2" s="491" t="s">
        <v>82</v>
      </c>
      <c r="Q2" s="497"/>
    </row>
    <row r="3" spans="1:20">
      <c r="B3" s="6"/>
      <c r="C3" s="494" t="s">
        <v>6</v>
      </c>
      <c r="D3" s="494" t="s">
        <v>44</v>
      </c>
      <c r="E3" s="494" t="s">
        <v>63</v>
      </c>
      <c r="F3" s="494" t="s">
        <v>3</v>
      </c>
      <c r="G3" s="498" t="s">
        <v>39</v>
      </c>
      <c r="H3" s="494" t="s">
        <v>4</v>
      </c>
      <c r="I3" s="494" t="s">
        <v>34</v>
      </c>
      <c r="J3" s="499" t="s">
        <v>35</v>
      </c>
      <c r="K3" s="496" t="s">
        <v>75</v>
      </c>
      <c r="L3" s="494" t="s">
        <v>2</v>
      </c>
      <c r="M3" s="494" t="s">
        <v>41</v>
      </c>
      <c r="N3" s="494" t="s">
        <v>3</v>
      </c>
      <c r="O3" s="494" t="s">
        <v>60</v>
      </c>
      <c r="P3" s="494" t="s">
        <v>83</v>
      </c>
      <c r="Q3" s="500" t="s">
        <v>176</v>
      </c>
      <c r="T3" s="5"/>
    </row>
    <row r="4" spans="1:20" ht="20.25">
      <c r="A4" s="376">
        <v>1</v>
      </c>
      <c r="B4" s="376" t="s">
        <v>179</v>
      </c>
      <c r="C4" s="501">
        <v>66.882352941176464</v>
      </c>
      <c r="D4" s="501">
        <f>Static!C5</f>
        <v>50</v>
      </c>
      <c r="E4" s="502">
        <f>MSRP!M7</f>
        <v>30.254576852320081</v>
      </c>
      <c r="F4" s="501">
        <f>'Subjective Handling '!S4</f>
        <v>37.6</v>
      </c>
      <c r="G4" s="503">
        <f>'Fuel Economy-Endurance  '!F10</f>
        <v>182.62831531431925</v>
      </c>
      <c r="H4" s="501">
        <f>Oral!BD4</f>
        <v>67.28378378378379</v>
      </c>
      <c r="I4" s="501">
        <f>Noise!H5</f>
        <v>300</v>
      </c>
      <c r="J4" s="502">
        <f>Acceleration!F5</f>
        <v>19</v>
      </c>
      <c r="K4" s="501">
        <f>'Lab Emissions'!K4+'Lab Emissions'!O4</f>
        <v>60.75</v>
      </c>
      <c r="L4" s="501">
        <f>'In Service Emissions'!L6</f>
        <v>100</v>
      </c>
      <c r="M4" s="501">
        <f>'Cold Start'!D4</f>
        <v>50</v>
      </c>
      <c r="N4" s="504">
        <f>'Objective Handling'!J6</f>
        <v>41.452991452991455</v>
      </c>
      <c r="O4" s="501">
        <f>'Penalties and Bonuses'!K4</f>
        <v>100</v>
      </c>
      <c r="P4" s="505">
        <f>0</f>
        <v>0</v>
      </c>
      <c r="Q4" s="506">
        <f>SUM(C4:P4)</f>
        <v>1105.852020344591</v>
      </c>
      <c r="T4" s="54"/>
    </row>
    <row r="5" spans="1:20" ht="20.25">
      <c r="A5" s="376">
        <v>2</v>
      </c>
      <c r="B5" s="376" t="s">
        <v>180</v>
      </c>
      <c r="C5" s="501">
        <v>83.466666666666669</v>
      </c>
      <c r="D5" s="501">
        <f>Static!C6</f>
        <v>50</v>
      </c>
      <c r="E5" s="502">
        <f>MSRP!M8</f>
        <v>47.557561860254239</v>
      </c>
      <c r="F5" s="501">
        <f>'Subjective Handling '!S5</f>
        <v>36</v>
      </c>
      <c r="G5" s="503">
        <f>'Fuel Economy-Endurance  '!F11</f>
        <v>0</v>
      </c>
      <c r="H5" s="501">
        <f>Oral!BD5</f>
        <v>72.666666666666671</v>
      </c>
      <c r="I5" s="501">
        <f>Noise!H6</f>
        <v>28.928571428571416</v>
      </c>
      <c r="J5" s="502">
        <f>Acceleration!F6</f>
        <v>21</v>
      </c>
      <c r="K5" s="501">
        <f>'Lab Emissions'!K5+'Lab Emissions'!O5</f>
        <v>315.27</v>
      </c>
      <c r="L5" s="501">
        <f>'In Service Emissions'!L7</f>
        <v>83.452335380452169</v>
      </c>
      <c r="M5" s="501">
        <f>'Cold Start'!D5</f>
        <v>50</v>
      </c>
      <c r="N5" s="504">
        <f>'Objective Handling'!J7</f>
        <v>28.632478632478637</v>
      </c>
      <c r="O5" s="501">
        <f>'Penalties and Bonuses'!K5</f>
        <v>-20</v>
      </c>
      <c r="P5" s="505">
        <f>0</f>
        <v>0</v>
      </c>
      <c r="Q5" s="506">
        <f t="shared" ref="Q5:Q16" si="0">SUM(C5:P5)</f>
        <v>796.97428063508983</v>
      </c>
      <c r="T5" s="54"/>
    </row>
    <row r="6" spans="1:20" ht="20.25">
      <c r="A6" s="376">
        <v>3</v>
      </c>
      <c r="B6" s="376" t="s">
        <v>181</v>
      </c>
      <c r="C6" s="501">
        <v>76.705882352941174</v>
      </c>
      <c r="D6" s="501">
        <f>Static!C7</f>
        <v>50</v>
      </c>
      <c r="E6" s="502">
        <f>MSRP!M9</f>
        <v>46.44827541109386</v>
      </c>
      <c r="F6" s="501">
        <f>'Subjective Handling '!S6</f>
        <v>36.666666666666664</v>
      </c>
      <c r="G6" s="503">
        <f>'Fuel Economy-Endurance  '!F12</f>
        <v>101.39144328640594</v>
      </c>
      <c r="H6" s="501">
        <f>Oral!BD6</f>
        <v>72.81481481481481</v>
      </c>
      <c r="I6" s="501">
        <f>Noise!H7</f>
        <v>176.00559347395426</v>
      </c>
      <c r="J6" s="502">
        <f>Acceleration!F7</f>
        <v>7.5999999999999943</v>
      </c>
      <c r="K6" s="501">
        <f>'Lab Emissions'!K6+'Lab Emissions'!O6</f>
        <v>294.21000000000004</v>
      </c>
      <c r="L6" s="501">
        <f>'In Service Emissions'!L8</f>
        <v>67.435673020388009</v>
      </c>
      <c r="M6" s="501">
        <f>'Cold Start'!D6</f>
        <v>0</v>
      </c>
      <c r="N6" s="504">
        <f>'Objective Handling'!J8</f>
        <v>34.615384615384613</v>
      </c>
      <c r="O6" s="501">
        <f>'Penalties and Bonuses'!K6</f>
        <v>0</v>
      </c>
      <c r="P6" s="505">
        <f>0</f>
        <v>0</v>
      </c>
      <c r="Q6" s="506">
        <f t="shared" si="0"/>
        <v>963.89373364164942</v>
      </c>
      <c r="T6" s="54"/>
    </row>
    <row r="7" spans="1:20" s="146" customFormat="1" ht="20.25">
      <c r="A7" s="376">
        <v>4</v>
      </c>
      <c r="B7" s="376" t="s">
        <v>182</v>
      </c>
      <c r="C7" s="501">
        <v>86.7</v>
      </c>
      <c r="D7" s="501">
        <f>Static!C8</f>
        <v>50</v>
      </c>
      <c r="E7" s="502">
        <f>MSRP!M10</f>
        <v>39.221790154672433</v>
      </c>
      <c r="F7" s="501">
        <f>'Subjective Handling '!S7</f>
        <v>44.7</v>
      </c>
      <c r="G7" s="503">
        <f>'Fuel Economy-Endurance  '!F13</f>
        <v>142.84576619426684</v>
      </c>
      <c r="H7" s="501">
        <f>Oral!BD7</f>
        <v>77.681818181818187</v>
      </c>
      <c r="I7" s="501">
        <f>Noise!H8</f>
        <v>7.5</v>
      </c>
      <c r="J7" s="502">
        <f>Acceleration!F8</f>
        <v>50</v>
      </c>
      <c r="K7" s="501">
        <f>'Lab Emissions'!K7+'Lab Emissions'!O7</f>
        <v>10</v>
      </c>
      <c r="L7" s="501">
        <f>'In Service Emissions'!L9</f>
        <v>57.565692047957981</v>
      </c>
      <c r="M7" s="501">
        <f>'Cold Start'!D7</f>
        <v>50</v>
      </c>
      <c r="N7" s="504">
        <f>'Objective Handling'!J9</f>
        <v>50</v>
      </c>
      <c r="O7" s="501">
        <f>'Penalties and Bonuses'!K7</f>
        <v>75</v>
      </c>
      <c r="P7" s="505">
        <f>0</f>
        <v>0</v>
      </c>
      <c r="Q7" s="506">
        <f t="shared" si="0"/>
        <v>741.21506657871544</v>
      </c>
      <c r="T7" s="201"/>
    </row>
    <row r="8" spans="1:20" s="146" customFormat="1" ht="20.25">
      <c r="A8" s="376">
        <v>7</v>
      </c>
      <c r="B8" s="376" t="s">
        <v>183</v>
      </c>
      <c r="C8" s="501">
        <v>72.607142857142861</v>
      </c>
      <c r="D8" s="501">
        <f>Static!C9</f>
        <v>50</v>
      </c>
      <c r="E8" s="502">
        <f>MSRP!M11</f>
        <v>34.644458297731354</v>
      </c>
      <c r="F8" s="501">
        <f>'Subjective Handling '!S8</f>
        <v>34.5</v>
      </c>
      <c r="G8" s="503">
        <f>'Fuel Economy-Endurance  '!F14</f>
        <v>130.93754234384681</v>
      </c>
      <c r="H8" s="501">
        <f>Oral!BD8</f>
        <v>71.145161290322577</v>
      </c>
      <c r="I8" s="501">
        <f>Noise!H9</f>
        <v>72.786077581676054</v>
      </c>
      <c r="J8" s="502">
        <f>Acceleration!F9</f>
        <v>41.2</v>
      </c>
      <c r="K8" s="501">
        <f>'Lab Emissions'!K8+'Lab Emissions'!O8</f>
        <v>10</v>
      </c>
      <c r="L8" s="501">
        <f>'In Service Emissions'!L10</f>
        <v>59.894367684598649</v>
      </c>
      <c r="M8" s="501">
        <f>'Cold Start'!D8</f>
        <v>50</v>
      </c>
      <c r="N8" s="504">
        <f>'Objective Handling'!J10</f>
        <v>36.623931623931611</v>
      </c>
      <c r="O8" s="501">
        <f>'Penalties and Bonuses'!K8</f>
        <v>100</v>
      </c>
      <c r="P8" s="505">
        <f>0</f>
        <v>0</v>
      </c>
      <c r="Q8" s="506">
        <f t="shared" si="0"/>
        <v>764.33868167924993</v>
      </c>
      <c r="T8" s="201"/>
    </row>
    <row r="9" spans="1:20" s="29" customFormat="1" ht="20.25">
      <c r="A9" s="376">
        <v>8</v>
      </c>
      <c r="B9" s="376" t="s">
        <v>184</v>
      </c>
      <c r="C9" s="501">
        <v>51.05263157894737</v>
      </c>
      <c r="D9" s="501">
        <f>Static!C10</f>
        <v>50</v>
      </c>
      <c r="E9" s="502">
        <f>MSRP!M12</f>
        <v>19.879775751129088</v>
      </c>
      <c r="F9" s="501">
        <f>'Subjective Handling '!S9</f>
        <v>0</v>
      </c>
      <c r="G9" s="503">
        <f>'Fuel Economy-Endurance  '!F15</f>
        <v>0</v>
      </c>
      <c r="H9" s="501">
        <f>Oral!BD9</f>
        <v>46.56666666666667</v>
      </c>
      <c r="I9" s="501">
        <f>Noise!H10</f>
        <v>0</v>
      </c>
      <c r="J9" s="502">
        <f>Acceleration!F10</f>
        <v>0</v>
      </c>
      <c r="K9" s="501">
        <f>'Lab Emissions'!K9+'Lab Emissions'!O9</f>
        <v>0</v>
      </c>
      <c r="L9" s="501">
        <f>'In Service Emissions'!L11</f>
        <v>0</v>
      </c>
      <c r="M9" s="501">
        <f>'Cold Start'!D9</f>
        <v>0</v>
      </c>
      <c r="N9" s="504">
        <f>'Objective Handling'!J11</f>
        <v>0</v>
      </c>
      <c r="O9" s="501">
        <f>'Penalties and Bonuses'!K9</f>
        <v>-50</v>
      </c>
      <c r="P9" s="505">
        <f>0</f>
        <v>0</v>
      </c>
      <c r="Q9" s="506">
        <f t="shared" si="0"/>
        <v>117.49907399674314</v>
      </c>
      <c r="T9" s="233"/>
    </row>
    <row r="10" spans="1:20" ht="20.25">
      <c r="A10" s="376">
        <v>9</v>
      </c>
      <c r="B10" s="376" t="s">
        <v>185</v>
      </c>
      <c r="C10" s="501">
        <v>59.823529411764703</v>
      </c>
      <c r="D10" s="501">
        <f>Static!C11</f>
        <v>50</v>
      </c>
      <c r="E10" s="502">
        <f>MSRP!M13</f>
        <v>13</v>
      </c>
      <c r="F10" s="501">
        <f>'Subjective Handling '!S10</f>
        <v>35.888888888888886</v>
      </c>
      <c r="G10" s="503">
        <f>'Fuel Economy-Endurance  '!F16</f>
        <v>0</v>
      </c>
      <c r="H10" s="501">
        <f>Oral!BD10</f>
        <v>53.645161290322584</v>
      </c>
      <c r="I10" s="501">
        <f>Noise!H11</f>
        <v>7.5178085044090812</v>
      </c>
      <c r="J10" s="502">
        <f>Acceleration!F11</f>
        <v>0</v>
      </c>
      <c r="K10" s="501">
        <f>'Lab Emissions'!K10+'Lab Emissions'!O10</f>
        <v>10</v>
      </c>
      <c r="L10" s="501">
        <f>'In Service Emissions'!L12</f>
        <v>47.489236852706242</v>
      </c>
      <c r="M10" s="501">
        <f>'Cold Start'!D10</f>
        <v>0</v>
      </c>
      <c r="N10" s="504">
        <f>'Objective Handling'!J12</f>
        <v>0</v>
      </c>
      <c r="O10" s="501">
        <f>'Penalties and Bonuses'!K10</f>
        <v>-50</v>
      </c>
      <c r="P10" s="505">
        <f>0</f>
        <v>0</v>
      </c>
      <c r="Q10" s="506">
        <f t="shared" si="0"/>
        <v>227.36462494809149</v>
      </c>
      <c r="T10" s="54"/>
    </row>
    <row r="11" spans="1:20" ht="20.25">
      <c r="A11" s="376">
        <v>10</v>
      </c>
      <c r="B11" s="376" t="s">
        <v>186</v>
      </c>
      <c r="C11" s="501">
        <v>67</v>
      </c>
      <c r="D11" s="501">
        <f>Static!C12</f>
        <v>50</v>
      </c>
      <c r="E11" s="502">
        <f>MSRP!M14</f>
        <v>27.861378973616752</v>
      </c>
      <c r="F11" s="501">
        <f>'Subjective Handling '!S11</f>
        <v>0</v>
      </c>
      <c r="G11" s="503">
        <f>'Fuel Economy-Endurance  '!F17</f>
        <v>0</v>
      </c>
      <c r="H11" s="501">
        <f>Oral!BD11</f>
        <v>54.383333333333333</v>
      </c>
      <c r="I11" s="501">
        <f>Noise!H12</f>
        <v>0</v>
      </c>
      <c r="J11" s="502">
        <f>Acceleration!F12</f>
        <v>0</v>
      </c>
      <c r="K11" s="501">
        <f>'Lab Emissions'!K11+'Lab Emissions'!O11</f>
        <v>0</v>
      </c>
      <c r="L11" s="501">
        <f>'In Service Emissions'!L13</f>
        <v>0</v>
      </c>
      <c r="M11" s="501">
        <f>'Cold Start'!D11</f>
        <v>0</v>
      </c>
      <c r="N11" s="504">
        <f>'Objective Handling'!J13</f>
        <v>0</v>
      </c>
      <c r="O11" s="501">
        <f>'Penalties and Bonuses'!K11</f>
        <v>0</v>
      </c>
      <c r="P11" s="505">
        <f>0</f>
        <v>0</v>
      </c>
      <c r="Q11" s="506">
        <f t="shared" si="0"/>
        <v>199.24471230695008</v>
      </c>
      <c r="T11" s="54"/>
    </row>
    <row r="12" spans="1:20" s="29" customFormat="1" ht="20.25">
      <c r="A12" s="376">
        <v>11</v>
      </c>
      <c r="B12" s="376" t="s">
        <v>187</v>
      </c>
      <c r="C12" s="501">
        <v>55.125</v>
      </c>
      <c r="D12" s="501">
        <f>Static!C13</f>
        <v>50</v>
      </c>
      <c r="E12" s="502">
        <f>MSRP!M15</f>
        <v>24.090301149144686</v>
      </c>
      <c r="F12" s="501">
        <f>'Subjective Handling '!S12</f>
        <v>30.5</v>
      </c>
      <c r="G12" s="503">
        <f>'Fuel Economy-Endurance  '!F18</f>
        <v>0</v>
      </c>
      <c r="H12" s="501">
        <f>Oral!BD12</f>
        <v>63.6875</v>
      </c>
      <c r="I12" s="501">
        <f>Noise!H13</f>
        <v>93.214285714285708</v>
      </c>
      <c r="J12" s="502">
        <f>Acceleration!F13</f>
        <v>42.800000000000011</v>
      </c>
      <c r="K12" s="501">
        <f>'Lab Emissions'!K12+'Lab Emissions'!O12</f>
        <v>313.36</v>
      </c>
      <c r="L12" s="501">
        <f>'In Service Emissions'!L14</f>
        <v>63.691091142684918</v>
      </c>
      <c r="M12" s="501">
        <f>'Cold Start'!D12</f>
        <v>50</v>
      </c>
      <c r="N12" s="504">
        <f>'Objective Handling'!J14</f>
        <v>0</v>
      </c>
      <c r="O12" s="501">
        <f>'Penalties and Bonuses'!K12</f>
        <v>0</v>
      </c>
      <c r="P12" s="505">
        <f>0</f>
        <v>0</v>
      </c>
      <c r="Q12" s="506">
        <f t="shared" si="0"/>
        <v>786.46817800611541</v>
      </c>
      <c r="T12" s="233"/>
    </row>
    <row r="13" spans="1:20" ht="20.25">
      <c r="A13" s="376">
        <v>14</v>
      </c>
      <c r="B13" s="376" t="s">
        <v>188</v>
      </c>
      <c r="C13" s="501">
        <v>59.476190476190474</v>
      </c>
      <c r="D13" s="501">
        <f>Static!C14</f>
        <v>50</v>
      </c>
      <c r="E13" s="502">
        <f>MSRP!M16</f>
        <v>21.127818368877186</v>
      </c>
      <c r="F13" s="501">
        <f>'Subjective Handling '!S13</f>
        <v>35.31818181818182</v>
      </c>
      <c r="G13" s="503">
        <f>'Fuel Economy-Endurance  '!F19</f>
        <v>119.85047346626874</v>
      </c>
      <c r="H13" s="501">
        <f>Oral!BD13</f>
        <v>51.910714285714285</v>
      </c>
      <c r="I13" s="501">
        <f>Noise!H14</f>
        <v>7.5</v>
      </c>
      <c r="J13" s="502">
        <f>Acceleration!F14</f>
        <v>20</v>
      </c>
      <c r="K13" s="501">
        <f>'Lab Emissions'!K13+'Lab Emissions'!O13</f>
        <v>10</v>
      </c>
      <c r="L13" s="501">
        <f>'In Service Emissions'!L15</f>
        <v>33.791684256259451</v>
      </c>
      <c r="M13" s="501">
        <f>'Cold Start'!D13</f>
        <v>0</v>
      </c>
      <c r="N13" s="504">
        <f>'Objective Handling'!J15</f>
        <v>0.68376068376070975</v>
      </c>
      <c r="O13" s="501">
        <f>'Penalties and Bonuses'!K13</f>
        <v>100</v>
      </c>
      <c r="P13" s="505">
        <f>0</f>
        <v>0</v>
      </c>
      <c r="Q13" s="506">
        <f t="shared" si="0"/>
        <v>509.65882335525259</v>
      </c>
    </row>
    <row r="14" spans="1:20" ht="20.25">
      <c r="A14" s="376">
        <v>15</v>
      </c>
      <c r="B14" s="376" t="s">
        <v>189</v>
      </c>
      <c r="C14" s="501">
        <v>70.944444444444443</v>
      </c>
      <c r="D14" s="501">
        <f>Static!C15</f>
        <v>50</v>
      </c>
      <c r="E14" s="502">
        <f>MSRP!M17</f>
        <v>46.483360071145825</v>
      </c>
      <c r="F14" s="501">
        <f>'Subjective Handling '!S14</f>
        <v>42.68181818181818</v>
      </c>
      <c r="G14" s="503">
        <f>'Fuel Economy-Endurance  '!F20</f>
        <v>108.04547958139898</v>
      </c>
      <c r="H14" s="501">
        <f>Oral!BD14</f>
        <v>59.166666666666664</v>
      </c>
      <c r="I14" s="501">
        <f>Noise!H15</f>
        <v>71.785714285714278</v>
      </c>
      <c r="J14" s="502">
        <f>Acceleration!F15</f>
        <v>34</v>
      </c>
      <c r="K14" s="501">
        <f>'Lab Emissions'!K14+'Lab Emissions'!O14</f>
        <v>10</v>
      </c>
      <c r="L14" s="501">
        <f>'In Service Emissions'!L16</f>
        <v>8.5332268536843046</v>
      </c>
      <c r="M14" s="501">
        <f>'Cold Start'!D14</f>
        <v>50</v>
      </c>
      <c r="N14" s="504">
        <f>'Objective Handling'!J16</f>
        <v>46.794871794871796</v>
      </c>
      <c r="O14" s="501">
        <f>'Penalties and Bonuses'!K14</f>
        <v>100</v>
      </c>
      <c r="P14" s="505">
        <f>0</f>
        <v>0</v>
      </c>
      <c r="Q14" s="506">
        <f t="shared" si="0"/>
        <v>698.43558187974452</v>
      </c>
    </row>
    <row r="15" spans="1:20" ht="20.25">
      <c r="A15" s="376">
        <v>16</v>
      </c>
      <c r="B15" s="376" t="s">
        <v>190</v>
      </c>
      <c r="C15" s="501">
        <v>71.558823529411768</v>
      </c>
      <c r="D15" s="501">
        <f>Static!C16</f>
        <v>50</v>
      </c>
      <c r="E15" s="502">
        <f>MSRP!M18</f>
        <v>21.943048459378865</v>
      </c>
      <c r="F15" s="501">
        <f>'Subjective Handling '!S15</f>
        <v>35.299999999999997</v>
      </c>
      <c r="G15" s="503">
        <f>'Fuel Economy-Endurance  '!F21</f>
        <v>100</v>
      </c>
      <c r="H15" s="501">
        <f>Oral!BD15</f>
        <v>59.6</v>
      </c>
      <c r="I15" s="501">
        <f>Noise!H16</f>
        <v>7.5</v>
      </c>
      <c r="J15" s="502">
        <f>Acceleration!F16</f>
        <v>0</v>
      </c>
      <c r="K15" s="501">
        <f>'Lab Emissions'!K15+'Lab Emissions'!O15</f>
        <v>22.5</v>
      </c>
      <c r="L15" s="501">
        <f>'In Service Emissions'!L17</f>
        <v>2.5</v>
      </c>
      <c r="M15" s="501">
        <f>'Cold Start'!D15</f>
        <v>0</v>
      </c>
      <c r="N15" s="504">
        <f>'Objective Handling'!J17</f>
        <v>0</v>
      </c>
      <c r="O15" s="501">
        <f>'Penalties and Bonuses'!K15</f>
        <v>0</v>
      </c>
      <c r="P15" s="505">
        <v>0</v>
      </c>
      <c r="Q15" s="506">
        <f t="shared" si="0"/>
        <v>370.90187198879067</v>
      </c>
    </row>
    <row r="16" spans="1:20" ht="20.25">
      <c r="A16" s="376">
        <v>17</v>
      </c>
      <c r="B16" s="376" t="s">
        <v>191</v>
      </c>
      <c r="C16" s="501">
        <v>61.857142857142854</v>
      </c>
      <c r="D16" s="501">
        <f>Static!C17</f>
        <v>50</v>
      </c>
      <c r="E16" s="502">
        <f>MSRP!M19</f>
        <v>26.999999999999996</v>
      </c>
      <c r="F16" s="501">
        <f>'Subjective Handling '!S16</f>
        <v>33.272727272727273</v>
      </c>
      <c r="G16" s="503">
        <f>'Fuel Economy-Endurance  '!F22</f>
        <v>200</v>
      </c>
      <c r="H16" s="501">
        <f>Oral!BD16</f>
        <v>68.620689655172413</v>
      </c>
      <c r="I16" s="501">
        <f>Noise!H17</f>
        <v>182.32094218694797</v>
      </c>
      <c r="J16" s="502">
        <f>Acceleration!F17</f>
        <v>0</v>
      </c>
      <c r="K16" s="501">
        <f>'Lab Emissions'!K16+'Lab Emissions'!O16</f>
        <v>260.95000000000005</v>
      </c>
      <c r="L16" s="501">
        <f>'In Service Emissions'!L18</f>
        <v>81.608029242427421</v>
      </c>
      <c r="M16" s="501">
        <f>'Cold Start'!D16</f>
        <v>0</v>
      </c>
      <c r="N16" s="504">
        <f>'Objective Handling'!J18</f>
        <v>26.96581196581198</v>
      </c>
      <c r="O16" s="501">
        <f>'Penalties and Bonuses'!K16</f>
        <v>70</v>
      </c>
      <c r="P16" s="505">
        <v>0</v>
      </c>
      <c r="Q16" s="506">
        <f t="shared" si="0"/>
        <v>1062.59534318023</v>
      </c>
    </row>
    <row r="17" spans="1:17" ht="15">
      <c r="C17" s="401" t="s">
        <v>42</v>
      </c>
      <c r="D17" s="401" t="s">
        <v>42</v>
      </c>
      <c r="E17" s="401" t="s">
        <v>42</v>
      </c>
      <c r="F17" s="401" t="s">
        <v>42</v>
      </c>
      <c r="G17" s="401" t="s">
        <v>42</v>
      </c>
      <c r="H17" s="401" t="s">
        <v>42</v>
      </c>
      <c r="I17" s="401" t="s">
        <v>42</v>
      </c>
      <c r="J17" s="401" t="s">
        <v>42</v>
      </c>
      <c r="K17" s="401" t="s">
        <v>42</v>
      </c>
      <c r="L17" s="401" t="s">
        <v>42</v>
      </c>
      <c r="M17" s="401" t="s">
        <v>42</v>
      </c>
      <c r="N17" s="401" t="s">
        <v>42</v>
      </c>
      <c r="O17" s="402"/>
      <c r="P17" s="401" t="s">
        <v>42</v>
      </c>
      <c r="Q17" s="400"/>
    </row>
    <row r="18" spans="1:17">
      <c r="B18" s="419"/>
      <c r="C18" s="421" t="s">
        <v>19</v>
      </c>
      <c r="D18" s="420" t="s">
        <v>19</v>
      </c>
      <c r="E18" s="420" t="s">
        <v>22</v>
      </c>
      <c r="F18" s="423" t="s">
        <v>42</v>
      </c>
      <c r="G18" s="420" t="s">
        <v>19</v>
      </c>
      <c r="H18" s="422"/>
      <c r="I18" s="422"/>
      <c r="J18" s="59"/>
      <c r="M18" s="48"/>
      <c r="N18" s="31"/>
      <c r="O18" s="9"/>
      <c r="P18" s="6"/>
    </row>
    <row r="19" spans="1:17">
      <c r="B19" s="418"/>
      <c r="C19" s="421" t="s">
        <v>18</v>
      </c>
      <c r="D19" s="421" t="s">
        <v>21</v>
      </c>
      <c r="E19" s="417" t="s">
        <v>23</v>
      </c>
      <c r="F19" s="421"/>
      <c r="G19" s="417" t="s">
        <v>159</v>
      </c>
      <c r="H19" s="421" t="s">
        <v>24</v>
      </c>
      <c r="I19" s="421" t="s">
        <v>26</v>
      </c>
      <c r="M19" s="48"/>
      <c r="N19" s="31"/>
      <c r="O19" s="464"/>
      <c r="P19" s="6"/>
    </row>
    <row r="20" spans="1:17">
      <c r="B20" s="418"/>
      <c r="C20" s="421" t="s">
        <v>20</v>
      </c>
      <c r="D20" s="421" t="s">
        <v>20</v>
      </c>
      <c r="E20" s="417" t="s">
        <v>20</v>
      </c>
      <c r="F20" s="421"/>
      <c r="G20" s="417" t="s">
        <v>20</v>
      </c>
      <c r="H20" s="421" t="s">
        <v>9</v>
      </c>
      <c r="I20" s="421" t="s">
        <v>25</v>
      </c>
      <c r="M20" s="48"/>
      <c r="N20" s="31"/>
      <c r="O20" s="464"/>
      <c r="P20" s="6"/>
    </row>
    <row r="21" spans="1:17" ht="20.25">
      <c r="A21" s="376">
        <v>1</v>
      </c>
      <c r="B21" s="376" t="s">
        <v>179</v>
      </c>
      <c r="C21" s="420" t="str">
        <f t="shared" ref="C21:C29" si="1">IF(AND(I4&gt;8,K4&gt;69,J4&gt;0),(J4+N4),"Not Eligible")</f>
        <v>Not Eligible</v>
      </c>
      <c r="D21" s="420" t="str">
        <f t="shared" ref="D21:D29" si="2">IF(AND(K4&gt;69,I4&gt;8,J4&gt;0),(C4+H4+D4),"Not Eligible")</f>
        <v>Not Eligible</v>
      </c>
      <c r="E21" s="420">
        <f t="shared" ref="E21:E29" si="3">I4+K4+E4</f>
        <v>391.0045768523201</v>
      </c>
      <c r="F21" s="483"/>
      <c r="G21" s="420">
        <f>(F4+G4+J4+M4+N4+E4)</f>
        <v>360.93588361963083</v>
      </c>
      <c r="H21" s="52">
        <f t="shared" ref="H21:H29" si="4">SUM(C4:P4)</f>
        <v>1105.852020344591</v>
      </c>
      <c r="I21" s="417">
        <v>4</v>
      </c>
      <c r="J21" s="467" t="s">
        <v>257</v>
      </c>
      <c r="M21" s="48"/>
      <c r="N21" s="31"/>
      <c r="O21" s="19"/>
      <c r="P21" s="6"/>
    </row>
    <row r="22" spans="1:17" ht="20.25">
      <c r="A22" s="376">
        <v>2</v>
      </c>
      <c r="B22" s="376" t="s">
        <v>180</v>
      </c>
      <c r="C22" s="420">
        <f t="shared" si="1"/>
        <v>49.632478632478637</v>
      </c>
      <c r="D22" s="420">
        <f t="shared" si="2"/>
        <v>206.13333333333333</v>
      </c>
      <c r="E22" s="420">
        <f t="shared" si="3"/>
        <v>391.75613328882565</v>
      </c>
      <c r="F22" s="483"/>
      <c r="G22" s="420">
        <f>(F5+G5+J5+M5+N5+E5)</f>
        <v>183.19004049273286</v>
      </c>
      <c r="H22" s="52">
        <f t="shared" si="4"/>
        <v>796.97428063508983</v>
      </c>
      <c r="I22" s="417">
        <v>3</v>
      </c>
      <c r="J22" s="488" t="s">
        <v>260</v>
      </c>
      <c r="M22" s="48"/>
      <c r="N22" s="31"/>
      <c r="O22" s="19"/>
      <c r="P22" s="6"/>
    </row>
    <row r="23" spans="1:17" s="146" customFormat="1" ht="20.25">
      <c r="A23" s="376">
        <v>3</v>
      </c>
      <c r="B23" s="376" t="s">
        <v>181</v>
      </c>
      <c r="C23" s="420">
        <f t="shared" si="1"/>
        <v>42.215384615384608</v>
      </c>
      <c r="D23" s="420">
        <f t="shared" si="2"/>
        <v>199.520697167756</v>
      </c>
      <c r="E23" s="420">
        <f t="shared" si="3"/>
        <v>516.66386888504815</v>
      </c>
      <c r="F23" s="483"/>
      <c r="G23" s="420">
        <f>(F6+G6+J6+M6+N6+E6)</f>
        <v>226.72176997955108</v>
      </c>
      <c r="H23" s="52">
        <f t="shared" si="4"/>
        <v>963.89373364164942</v>
      </c>
      <c r="I23" s="417">
        <v>2</v>
      </c>
      <c r="J23" s="488" t="s">
        <v>259</v>
      </c>
      <c r="K23" s="208"/>
      <c r="L23" s="194"/>
      <c r="M23" s="209"/>
      <c r="N23" s="206"/>
      <c r="O23" s="210"/>
      <c r="P23" s="199"/>
    </row>
    <row r="24" spans="1:17" ht="20.25">
      <c r="A24" s="376">
        <v>4</v>
      </c>
      <c r="B24" s="376" t="s">
        <v>182</v>
      </c>
      <c r="C24" s="420" t="str">
        <f t="shared" si="1"/>
        <v>Not Eligible</v>
      </c>
      <c r="D24" s="420" t="str">
        <f t="shared" si="2"/>
        <v>Not Eligible</v>
      </c>
      <c r="E24" s="420">
        <f t="shared" si="3"/>
        <v>56.721790154672433</v>
      </c>
      <c r="F24" s="483"/>
      <c r="G24" s="420">
        <f>(F7+G7+J7+M7+N7+E7)</f>
        <v>376.76755634893925</v>
      </c>
      <c r="H24" s="52">
        <f t="shared" si="4"/>
        <v>741.21506657871544</v>
      </c>
      <c r="I24" s="417">
        <v>7</v>
      </c>
      <c r="J24" s="467" t="s">
        <v>257</v>
      </c>
      <c r="M24" s="48"/>
      <c r="N24" s="31"/>
      <c r="O24" s="19"/>
      <c r="P24" s="6"/>
    </row>
    <row r="25" spans="1:17" ht="20.25">
      <c r="A25" s="376">
        <v>7</v>
      </c>
      <c r="B25" s="376" t="s">
        <v>183</v>
      </c>
      <c r="C25" s="420" t="str">
        <f t="shared" si="1"/>
        <v>Not Eligible</v>
      </c>
      <c r="D25" s="420" t="str">
        <f t="shared" si="2"/>
        <v>Not Eligible</v>
      </c>
      <c r="E25" s="420">
        <f t="shared" si="3"/>
        <v>117.43053587940742</v>
      </c>
      <c r="F25" s="483"/>
      <c r="G25" s="420">
        <f>(F8+G8+J8+M8+N8+E8)</f>
        <v>327.90593226550982</v>
      </c>
      <c r="H25" s="52">
        <f t="shared" si="4"/>
        <v>764.33868167924993</v>
      </c>
      <c r="I25" s="417">
        <v>6</v>
      </c>
      <c r="J25" s="467" t="s">
        <v>257</v>
      </c>
      <c r="M25" s="48"/>
      <c r="N25" s="31"/>
      <c r="O25" s="19"/>
      <c r="P25" s="6"/>
    </row>
    <row r="26" spans="1:17" ht="20.25">
      <c r="A26" s="376">
        <v>8</v>
      </c>
      <c r="B26" s="376" t="s">
        <v>184</v>
      </c>
      <c r="C26" s="420" t="str">
        <f t="shared" si="1"/>
        <v>Not Eligible</v>
      </c>
      <c r="D26" s="420" t="str">
        <f t="shared" si="2"/>
        <v>Not Eligible</v>
      </c>
      <c r="E26" s="420">
        <f t="shared" si="3"/>
        <v>19.879775751129088</v>
      </c>
      <c r="F26" s="483"/>
      <c r="G26" s="420">
        <f t="shared" ref="G26:G29" si="5">(F9+G9+J9+M9+N9+E9)</f>
        <v>19.879775751129088</v>
      </c>
      <c r="H26" s="52">
        <f t="shared" si="4"/>
        <v>117.49907399674314</v>
      </c>
      <c r="I26" s="417">
        <v>13</v>
      </c>
      <c r="J26" s="467" t="s">
        <v>257</v>
      </c>
      <c r="M26" s="48"/>
      <c r="N26" s="31"/>
      <c r="O26" s="19"/>
      <c r="P26" s="6"/>
    </row>
    <row r="27" spans="1:17" ht="20.25">
      <c r="A27" s="376">
        <v>9</v>
      </c>
      <c r="B27" s="376" t="s">
        <v>185</v>
      </c>
      <c r="C27" s="420" t="str">
        <f t="shared" si="1"/>
        <v>Not Eligible</v>
      </c>
      <c r="D27" s="420" t="str">
        <f t="shared" si="2"/>
        <v>Not Eligible</v>
      </c>
      <c r="E27" s="420">
        <f t="shared" si="3"/>
        <v>30.517808504409082</v>
      </c>
      <c r="F27" s="483"/>
      <c r="G27" s="420">
        <f t="shared" si="5"/>
        <v>48.888888888888886</v>
      </c>
      <c r="H27" s="52">
        <f t="shared" si="4"/>
        <v>227.36462494809149</v>
      </c>
      <c r="I27" s="417">
        <v>11</v>
      </c>
      <c r="J27" s="467" t="s">
        <v>257</v>
      </c>
      <c r="M27" s="48"/>
      <c r="N27" s="31"/>
      <c r="O27" s="19"/>
      <c r="P27" s="6"/>
    </row>
    <row r="28" spans="1:17" ht="20.25">
      <c r="A28" s="376">
        <v>10</v>
      </c>
      <c r="B28" s="376" t="s">
        <v>186</v>
      </c>
      <c r="C28" s="420" t="str">
        <f t="shared" si="1"/>
        <v>Not Eligible</v>
      </c>
      <c r="D28" s="420" t="str">
        <f t="shared" si="2"/>
        <v>Not Eligible</v>
      </c>
      <c r="E28" s="420">
        <f t="shared" si="3"/>
        <v>27.861378973616752</v>
      </c>
      <c r="F28" s="483"/>
      <c r="G28" s="420">
        <f t="shared" si="5"/>
        <v>27.861378973616752</v>
      </c>
      <c r="H28" s="52">
        <f t="shared" si="4"/>
        <v>199.24471230695008</v>
      </c>
      <c r="I28" s="417">
        <v>12</v>
      </c>
      <c r="J28" s="467" t="s">
        <v>257</v>
      </c>
      <c r="M28" s="48"/>
      <c r="N28" s="31"/>
      <c r="O28" s="19"/>
      <c r="P28" s="6"/>
    </row>
    <row r="29" spans="1:17" ht="20.25">
      <c r="A29" s="376">
        <v>11</v>
      </c>
      <c r="B29" s="376" t="s">
        <v>187</v>
      </c>
      <c r="C29" s="420">
        <f t="shared" si="1"/>
        <v>42.800000000000011</v>
      </c>
      <c r="D29" s="420">
        <f t="shared" si="2"/>
        <v>168.8125</v>
      </c>
      <c r="E29" s="420">
        <f t="shared" si="3"/>
        <v>430.66458686343043</v>
      </c>
      <c r="F29" s="483"/>
      <c r="G29" s="420">
        <f t="shared" si="5"/>
        <v>147.3903011491447</v>
      </c>
      <c r="H29" s="52">
        <f t="shared" si="4"/>
        <v>786.46817800611541</v>
      </c>
      <c r="I29" s="417">
        <v>5</v>
      </c>
      <c r="J29" s="467" t="s">
        <v>261</v>
      </c>
      <c r="M29" s="48"/>
      <c r="N29" s="31"/>
      <c r="O29" s="19"/>
      <c r="P29" s="6"/>
    </row>
    <row r="30" spans="1:17" ht="20.25">
      <c r="A30" s="376">
        <v>14</v>
      </c>
      <c r="B30" s="376" t="s">
        <v>188</v>
      </c>
      <c r="C30" s="420" t="str">
        <f>IF(AND(I13&gt;8,K13&gt;69,J13&gt;0),(J13+N13),"Not Eligible")</f>
        <v>Not Eligible</v>
      </c>
      <c r="D30" s="420" t="str">
        <f>IF(AND(K13&gt;69,I13&gt;8,J13&gt;0),(C13+H13+D13),"Not Eligible")</f>
        <v>Not Eligible</v>
      </c>
      <c r="E30" s="420">
        <f>I13+K13+E13</f>
        <v>38.627818368877186</v>
      </c>
      <c r="F30" s="483"/>
      <c r="G30" s="420">
        <f>(F13+G13+J13+M13+N13+E13)</f>
        <v>196.98023433708846</v>
      </c>
      <c r="H30" s="52">
        <f>SUM(C13:P13)</f>
        <v>509.65882335525259</v>
      </c>
      <c r="I30" s="417">
        <v>9</v>
      </c>
      <c r="J30" s="467" t="s">
        <v>257</v>
      </c>
      <c r="M30" s="48"/>
      <c r="N30" s="31"/>
      <c r="O30" s="19"/>
      <c r="P30" s="6"/>
    </row>
    <row r="31" spans="1:17" ht="20.25">
      <c r="A31" s="376">
        <v>15</v>
      </c>
      <c r="B31" s="376" t="s">
        <v>189</v>
      </c>
      <c r="C31" s="420" t="str">
        <f>IF(AND(I14&gt;8,K14&gt;69,J14&gt;0),(J14+N14),"Not Eligible")</f>
        <v>Not Eligible</v>
      </c>
      <c r="D31" s="420" t="str">
        <f>IF(AND(K14&gt;69,I14&gt;8,J14&gt;0),(C14+H14+D14),"Not Eligible")</f>
        <v>Not Eligible</v>
      </c>
      <c r="E31" s="420">
        <f>I14+K14+E14</f>
        <v>128.2690743568601</v>
      </c>
      <c r="F31" s="483"/>
      <c r="G31" s="420">
        <f>(F14+G14+J14+M14+N14+E14)</f>
        <v>328.00552962923484</v>
      </c>
      <c r="H31" s="52">
        <f>SUM(C14:P14)</f>
        <v>698.43558187974452</v>
      </c>
      <c r="I31" s="417">
        <v>8</v>
      </c>
      <c r="J31" s="467" t="s">
        <v>257</v>
      </c>
    </row>
    <row r="32" spans="1:17" ht="20.25">
      <c r="A32" s="376">
        <v>16</v>
      </c>
      <c r="B32" s="376" t="s">
        <v>190</v>
      </c>
      <c r="C32" s="420" t="str">
        <f t="shared" ref="C32:C33" si="6">IF(AND(I15&gt;8,K15&gt;69,J15&gt;0),(J15+N15),"Not Eligible")</f>
        <v>Not Eligible</v>
      </c>
      <c r="D32" s="420" t="str">
        <f t="shared" ref="D32:D33" si="7">IF(AND(K15&gt;69,I15&gt;8,J15&gt;0),(C15+H15+D15),"Not Eligible")</f>
        <v>Not Eligible</v>
      </c>
      <c r="E32" s="420">
        <f t="shared" ref="E32:E33" si="8">I15+K15+E15</f>
        <v>51.943048459378865</v>
      </c>
      <c r="F32" s="483"/>
      <c r="G32" s="420">
        <f>(F15+G15+J15+M15+N15+E15)</f>
        <v>157.24304845937888</v>
      </c>
      <c r="H32" s="52">
        <f t="shared" ref="H32:H33" si="9">SUM(C15:P15)</f>
        <v>370.90187198879067</v>
      </c>
      <c r="I32" s="417">
        <v>10</v>
      </c>
      <c r="J32" s="467" t="s">
        <v>257</v>
      </c>
    </row>
    <row r="33" spans="1:16" ht="20.25">
      <c r="A33" s="376">
        <v>17</v>
      </c>
      <c r="B33" s="376" t="s">
        <v>191</v>
      </c>
      <c r="C33" s="420" t="str">
        <f t="shared" si="6"/>
        <v>Not Eligible</v>
      </c>
      <c r="D33" s="420" t="str">
        <f t="shared" si="7"/>
        <v>Not Eligible</v>
      </c>
      <c r="E33" s="420">
        <f t="shared" si="8"/>
        <v>470.27094218694799</v>
      </c>
      <c r="F33" s="483"/>
      <c r="G33" s="420">
        <f t="shared" ref="G33" si="10">(F16+G16+J16+M16+N16+E16)</f>
        <v>287.23853923853926</v>
      </c>
      <c r="H33" s="52">
        <f t="shared" si="9"/>
        <v>1062.59534318023</v>
      </c>
      <c r="I33" s="417">
        <v>1</v>
      </c>
      <c r="J33" s="467" t="s">
        <v>258</v>
      </c>
    </row>
    <row r="34" spans="1:16" s="59" customFormat="1">
      <c r="B34" s="424"/>
      <c r="C34" s="425"/>
      <c r="D34" s="425"/>
      <c r="E34" s="425"/>
      <c r="F34" s="484"/>
      <c r="G34" s="425"/>
      <c r="H34" s="425"/>
      <c r="I34" s="426"/>
      <c r="J34" s="60"/>
      <c r="K34" s="33"/>
      <c r="L34" s="118"/>
      <c r="M34" s="60"/>
      <c r="N34" s="60"/>
      <c r="O34" s="60"/>
      <c r="P34" s="34"/>
    </row>
    <row r="35" spans="1:16" s="59" customFormat="1">
      <c r="B35" s="424"/>
      <c r="C35" s="420">
        <f>MAX(C21:C33)</f>
        <v>49.632478632478637</v>
      </c>
      <c r="D35" s="420">
        <f>MAX(D21:D33)</f>
        <v>206.13333333333333</v>
      </c>
      <c r="E35" s="420">
        <f>MAX(E21:E33)</f>
        <v>516.66386888504815</v>
      </c>
      <c r="F35" s="485"/>
      <c r="G35" s="420">
        <f>MAX(G21:G31)</f>
        <v>376.76755634893925</v>
      </c>
      <c r="H35" s="425"/>
      <c r="I35" s="426"/>
      <c r="J35" s="60"/>
      <c r="K35" s="33"/>
      <c r="L35" s="118"/>
      <c r="M35" s="60"/>
      <c r="N35" s="60"/>
      <c r="O35" s="60"/>
      <c r="P35" s="34"/>
    </row>
    <row r="36" spans="1:16" s="59" customFormat="1" ht="15">
      <c r="B36" s="322" t="s">
        <v>42</v>
      </c>
      <c r="D36" s="142"/>
      <c r="G36" s="71"/>
      <c r="H36" s="33"/>
      <c r="I36" s="60"/>
      <c r="J36" s="60"/>
      <c r="K36" s="33"/>
      <c r="L36" s="118"/>
      <c r="M36" s="60"/>
      <c r="N36" s="60"/>
      <c r="O36" s="60"/>
      <c r="P36" s="34"/>
    </row>
    <row r="37" spans="1:16" s="59" customFormat="1" ht="63">
      <c r="B37" s="477" t="s">
        <v>268</v>
      </c>
      <c r="C37" s="518" t="str">
        <f>B16</f>
        <v>Kettering Univ</v>
      </c>
      <c r="D37" s="518"/>
      <c r="E37" s="518"/>
      <c r="F37" s="518"/>
      <c r="G37" s="71"/>
      <c r="H37" s="33"/>
      <c r="I37" s="60"/>
      <c r="J37" s="34"/>
      <c r="K37" s="170"/>
      <c r="L37" s="118"/>
      <c r="M37" s="34"/>
      <c r="N37" s="34"/>
      <c r="O37" s="34"/>
      <c r="P37" s="34"/>
    </row>
    <row r="38" spans="1:16" s="59" customFormat="1" ht="20.25" customHeight="1">
      <c r="B38" s="431" t="s">
        <v>265</v>
      </c>
      <c r="C38" s="444" t="str">
        <f>B6</f>
        <v>Univ of Minnesota-Duluth</v>
      </c>
      <c r="D38" s="435"/>
      <c r="E38" s="435"/>
      <c r="F38" s="435"/>
      <c r="G38" s="71"/>
      <c r="H38" s="26"/>
      <c r="I38" s="60"/>
      <c r="J38" s="34"/>
      <c r="K38" s="170"/>
      <c r="L38" s="118"/>
      <c r="M38" s="34"/>
      <c r="N38" s="34"/>
      <c r="O38" s="34"/>
      <c r="P38" s="34"/>
    </row>
    <row r="39" spans="1:16" s="59" customFormat="1" ht="19.5" customHeight="1">
      <c r="B39" s="431" t="s">
        <v>266</v>
      </c>
      <c r="C39" s="435" t="str">
        <f>B5</f>
        <v>Univ of Wisconsin - Madison</v>
      </c>
      <c r="D39" s="435"/>
      <c r="E39" s="435"/>
      <c r="F39" s="435"/>
      <c r="G39" s="517"/>
      <c r="H39" s="517"/>
      <c r="I39" s="517"/>
      <c r="J39" s="517"/>
      <c r="K39" s="170"/>
      <c r="L39" s="118"/>
      <c r="M39" s="34"/>
      <c r="N39" s="34"/>
      <c r="O39" s="34"/>
      <c r="P39" s="34"/>
    </row>
    <row r="40" spans="1:16" s="507" customFormat="1" ht="31.5" customHeight="1">
      <c r="B40" s="477" t="s">
        <v>269</v>
      </c>
      <c r="C40" s="518" t="str">
        <f>B5</f>
        <v>Univ of Wisconsin - Madison</v>
      </c>
      <c r="D40" s="518"/>
      <c r="E40" s="518"/>
      <c r="F40" s="518"/>
      <c r="G40" s="508"/>
      <c r="H40" s="509"/>
      <c r="I40" s="509"/>
      <c r="J40" s="509"/>
      <c r="K40" s="510"/>
      <c r="L40" s="511"/>
      <c r="M40" s="509"/>
      <c r="N40" s="509"/>
      <c r="O40" s="509"/>
      <c r="P40" s="509"/>
    </row>
    <row r="41" spans="1:16" s="59" customFormat="1" ht="14.45" customHeight="1">
      <c r="B41" s="431" t="s">
        <v>279</v>
      </c>
      <c r="C41" s="522" t="str">
        <f>B22</f>
        <v>Univ of Wisconsin - Madison</v>
      </c>
      <c r="D41" s="522"/>
      <c r="E41" s="522"/>
      <c r="F41" s="522"/>
      <c r="G41" s="71"/>
      <c r="H41" s="34"/>
      <c r="I41" s="34"/>
      <c r="J41" s="34"/>
      <c r="K41" s="170"/>
      <c r="L41" s="118"/>
      <c r="M41" s="34"/>
      <c r="N41" s="34"/>
      <c r="O41" s="34"/>
      <c r="P41" s="34"/>
    </row>
    <row r="42" spans="1:16" ht="14.45" customHeight="1">
      <c r="B42" s="432" t="s">
        <v>80</v>
      </c>
      <c r="C42" s="518" t="str">
        <f>B4</f>
        <v>Ecole De Technologie Superieure</v>
      </c>
      <c r="D42" s="518"/>
      <c r="E42" s="518"/>
      <c r="F42" s="518"/>
      <c r="G42" s="71"/>
      <c r="K42" s="439"/>
    </row>
    <row r="43" spans="1:16" s="59" customFormat="1" ht="14.45" customHeight="1">
      <c r="B43" s="431" t="s">
        <v>250</v>
      </c>
      <c r="C43" s="518" t="str">
        <f>B22</f>
        <v>Univ of Wisconsin - Madison</v>
      </c>
      <c r="D43" s="518"/>
      <c r="E43" s="518"/>
      <c r="F43" s="518"/>
      <c r="G43" s="71"/>
      <c r="H43" s="34"/>
      <c r="I43" s="34"/>
      <c r="J43" s="442"/>
      <c r="K43" s="170"/>
      <c r="L43" s="118"/>
      <c r="M43" s="34"/>
      <c r="N43" s="34"/>
      <c r="O43" s="34"/>
      <c r="P43" s="34"/>
    </row>
    <row r="44" spans="1:16" s="59" customFormat="1" ht="14.45" customHeight="1">
      <c r="B44" s="431" t="s">
        <v>64</v>
      </c>
      <c r="C44" s="523" t="s">
        <v>191</v>
      </c>
      <c r="D44" s="516"/>
      <c r="E44" s="516"/>
      <c r="F44" s="516"/>
      <c r="G44" s="441"/>
      <c r="H44" s="34"/>
      <c r="I44" s="34"/>
      <c r="J44" s="34"/>
      <c r="K44" s="440"/>
      <c r="L44" s="118"/>
      <c r="M44" s="34"/>
      <c r="N44" s="34"/>
      <c r="O44" s="34"/>
      <c r="P44" s="34"/>
    </row>
    <row r="45" spans="1:16" s="59" customFormat="1" ht="31.5" customHeight="1">
      <c r="B45" s="477" t="s">
        <v>270</v>
      </c>
      <c r="C45" s="516" t="str">
        <f>B4</f>
        <v>Ecole De Technologie Superieure</v>
      </c>
      <c r="D45" s="516"/>
      <c r="E45" s="516"/>
      <c r="F45" s="516"/>
      <c r="G45" s="71"/>
      <c r="H45" s="34"/>
      <c r="I45" s="34"/>
      <c r="J45" s="34"/>
      <c r="K45" s="170"/>
      <c r="L45" s="118"/>
      <c r="M45" s="34"/>
      <c r="N45" s="34"/>
      <c r="O45" s="34"/>
      <c r="P45" s="34"/>
    </row>
    <row r="46" spans="1:16" ht="14.45" customHeight="1">
      <c r="B46" s="431" t="s">
        <v>65</v>
      </c>
      <c r="C46" s="516" t="str">
        <f>B23</f>
        <v>Univ of Minnesota-Duluth</v>
      </c>
      <c r="D46" s="516"/>
      <c r="E46" s="516"/>
      <c r="F46" s="516"/>
      <c r="G46" s="71"/>
      <c r="H46" s="34"/>
      <c r="I46" s="34"/>
      <c r="J46" s="6"/>
      <c r="K46" s="168"/>
      <c r="L46" s="18"/>
      <c r="M46" s="6"/>
      <c r="N46" s="6"/>
      <c r="O46" s="6"/>
      <c r="P46" s="6"/>
    </row>
    <row r="47" spans="1:16" ht="18" customHeight="1">
      <c r="B47" s="433" t="s">
        <v>68</v>
      </c>
      <c r="C47" s="521" t="str">
        <f>B7</f>
        <v>Univ of Idaho</v>
      </c>
      <c r="D47" s="521"/>
      <c r="E47" s="521"/>
      <c r="F47" s="521"/>
      <c r="G47" s="71"/>
      <c r="H47" s="6"/>
      <c r="I47" s="6"/>
    </row>
    <row r="48" spans="1:16" ht="15.75">
      <c r="B48" s="433" t="s">
        <v>66</v>
      </c>
      <c r="C48" s="521" t="str">
        <f>B24</f>
        <v>Univ of Idaho</v>
      </c>
      <c r="D48" s="521"/>
      <c r="E48" s="521"/>
      <c r="F48" s="521"/>
      <c r="G48" s="71"/>
    </row>
    <row r="49" spans="2:12" ht="15.75">
      <c r="B49" s="431" t="s">
        <v>264</v>
      </c>
      <c r="C49" s="519" t="s">
        <v>251</v>
      </c>
      <c r="D49" s="520"/>
      <c r="E49" s="520"/>
      <c r="F49" s="520"/>
      <c r="G49" s="17"/>
    </row>
    <row r="50" spans="2:12" ht="15.75">
      <c r="B50" s="432" t="s">
        <v>267</v>
      </c>
      <c r="C50" s="521" t="str">
        <f>B4</f>
        <v>Ecole De Technologie Superieure</v>
      </c>
      <c r="D50" s="521"/>
      <c r="E50" s="521"/>
      <c r="F50" s="521"/>
    </row>
    <row r="51" spans="2:12" ht="47.25">
      <c r="B51" s="434" t="s">
        <v>177</v>
      </c>
      <c r="C51" s="443" t="s">
        <v>254</v>
      </c>
      <c r="D51" s="469" t="s">
        <v>255</v>
      </c>
      <c r="E51" s="469"/>
      <c r="F51" s="469"/>
      <c r="G51" s="71"/>
      <c r="I51" s="515"/>
    </row>
    <row r="52" spans="2:12" ht="31.5">
      <c r="B52" s="434" t="s">
        <v>178</v>
      </c>
      <c r="C52" s="519" t="s">
        <v>183</v>
      </c>
      <c r="D52" s="520"/>
      <c r="E52" s="520"/>
      <c r="F52" s="520"/>
      <c r="G52" s="354" t="s">
        <v>42</v>
      </c>
      <c r="H52" s="116"/>
      <c r="I52" s="116"/>
      <c r="J52" s="116"/>
      <c r="K52" s="172"/>
    </row>
    <row r="53" spans="2:12" s="116" customFormat="1" ht="15.75">
      <c r="B53" s="432" t="s">
        <v>252</v>
      </c>
      <c r="C53" s="436" t="s">
        <v>182</v>
      </c>
      <c r="D53" s="437"/>
      <c r="E53" s="438"/>
      <c r="F53" s="438"/>
      <c r="G53" s="333"/>
      <c r="K53" s="355"/>
      <c r="L53" s="2"/>
    </row>
    <row r="54" spans="2:12" s="1" customFormat="1" ht="15">
      <c r="B54" s="475" t="s">
        <v>262</v>
      </c>
      <c r="C54" s="476" t="s">
        <v>253</v>
      </c>
      <c r="D54" s="478"/>
      <c r="E54" s="479"/>
      <c r="F54" s="480"/>
      <c r="G54" s="71"/>
      <c r="K54" s="172"/>
      <c r="L54" s="55"/>
    </row>
    <row r="55" spans="2:12" s="1" customFormat="1">
      <c r="B55" s="475" t="s">
        <v>281</v>
      </c>
      <c r="C55" s="481" t="s">
        <v>256</v>
      </c>
      <c r="D55" s="482"/>
      <c r="E55" s="481"/>
      <c r="F55" s="481"/>
      <c r="K55" s="172"/>
      <c r="L55" s="55"/>
    </row>
    <row r="56" spans="2:12" s="1" customFormat="1">
      <c r="B56" s="475" t="s">
        <v>263</v>
      </c>
      <c r="C56" s="512" t="s">
        <v>255</v>
      </c>
      <c r="D56" s="513"/>
      <c r="E56" s="512"/>
      <c r="F56" s="512"/>
      <c r="K56" s="172"/>
      <c r="L56" s="55"/>
    </row>
    <row r="57" spans="2:12" s="1" customFormat="1">
      <c r="B57" s="475" t="s">
        <v>278</v>
      </c>
      <c r="C57" s="481" t="s">
        <v>271</v>
      </c>
      <c r="D57" s="486" t="s">
        <v>272</v>
      </c>
      <c r="E57" s="481" t="s">
        <v>254</v>
      </c>
      <c r="F57" s="481" t="s">
        <v>273</v>
      </c>
      <c r="G57" s="514" t="s">
        <v>274</v>
      </c>
      <c r="H57" s="514" t="s">
        <v>275</v>
      </c>
      <c r="I57" s="514" t="s">
        <v>276</v>
      </c>
      <c r="J57" s="514" t="s">
        <v>277</v>
      </c>
      <c r="K57" s="172"/>
      <c r="L57" s="55"/>
    </row>
    <row r="58" spans="2:12" s="1" customFormat="1">
      <c r="B58" s="173"/>
      <c r="D58" s="55"/>
      <c r="K58" s="172"/>
      <c r="L58" s="55"/>
    </row>
    <row r="59" spans="2:12" s="1" customFormat="1">
      <c r="B59" s="173"/>
      <c r="D59" s="55"/>
      <c r="K59" s="172"/>
      <c r="L59" s="55"/>
    </row>
    <row r="60" spans="2:12" s="1" customFormat="1">
      <c r="B60" s="173"/>
      <c r="D60" s="55"/>
      <c r="K60" s="172"/>
      <c r="L60" s="55"/>
    </row>
    <row r="61" spans="2:12" s="1" customFormat="1">
      <c r="B61" s="173"/>
      <c r="D61" s="55"/>
      <c r="K61" s="172"/>
      <c r="L61" s="55"/>
    </row>
  </sheetData>
  <mergeCells count="14">
    <mergeCell ref="C37:F37"/>
    <mergeCell ref="C41:F41"/>
    <mergeCell ref="C42:F42"/>
    <mergeCell ref="C43:F43"/>
    <mergeCell ref="C44:F44"/>
    <mergeCell ref="C46:F46"/>
    <mergeCell ref="C45:F45"/>
    <mergeCell ref="G39:J39"/>
    <mergeCell ref="C40:F40"/>
    <mergeCell ref="C52:F52"/>
    <mergeCell ref="C47:F47"/>
    <mergeCell ref="C48:F48"/>
    <mergeCell ref="C49:F49"/>
    <mergeCell ref="C50:F50"/>
  </mergeCells>
  <phoneticPr fontId="25" type="noConversion"/>
  <printOptions gridLines="1"/>
  <pageMargins left="0.75" right="0.75" top="1" bottom="1" header="0.5" footer="0.5"/>
  <pageSetup scale="44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6"/>
  <sheetViews>
    <sheetView zoomScaleNormal="100" zoomScalePageLayoutView="125" workbookViewId="0">
      <pane xSplit="2" ySplit="1" topLeftCell="C2" activePane="bottomRight" state="frozen"/>
      <selection pane="topRight"/>
      <selection pane="bottomLeft"/>
      <selection pane="bottomRight"/>
    </sheetView>
  </sheetViews>
  <sheetFormatPr defaultColWidth="22.28515625" defaultRowHeight="12.75"/>
  <cols>
    <col min="2" max="2" width="12.28515625" customWidth="1"/>
    <col min="3" max="3" width="14.85546875" customWidth="1"/>
    <col min="4" max="4" width="8.7109375" customWidth="1"/>
    <col min="5" max="5" width="12.85546875" customWidth="1"/>
    <col min="6" max="6" width="11.28515625" customWidth="1"/>
    <col min="7" max="7" width="8.28515625" customWidth="1"/>
    <col min="8" max="8" width="11.42578125" customWidth="1"/>
    <col min="9" max="9" width="1.42578125" customWidth="1"/>
    <col min="10" max="10" width="8.140625" customWidth="1"/>
    <col min="11" max="11" width="10.140625" customWidth="1"/>
    <col min="12" max="12" width="7.140625" customWidth="1"/>
    <col min="13" max="13" width="2.42578125" customWidth="1"/>
    <col min="14" max="14" width="7.42578125" customWidth="1"/>
    <col min="15" max="15" width="4.85546875" customWidth="1"/>
    <col min="16" max="16" width="6.85546875" customWidth="1"/>
  </cols>
  <sheetData>
    <row r="1" spans="1:17">
      <c r="A1" t="s">
        <v>213</v>
      </c>
    </row>
    <row r="3" spans="1:17" s="138" customFormat="1" ht="37.5" customHeight="1">
      <c r="A3" s="138" t="s">
        <v>214</v>
      </c>
      <c r="B3" s="138" t="s">
        <v>215</v>
      </c>
      <c r="C3" s="138" t="s">
        <v>86</v>
      </c>
      <c r="D3" s="138" t="s">
        <v>216</v>
      </c>
      <c r="E3" s="138" t="s">
        <v>217</v>
      </c>
      <c r="F3" s="138" t="s">
        <v>218</v>
      </c>
      <c r="G3" s="138" t="s">
        <v>219</v>
      </c>
      <c r="H3" s="138" t="s">
        <v>87</v>
      </c>
      <c r="J3" s="138" t="s">
        <v>220</v>
      </c>
      <c r="K3" s="138" t="s">
        <v>88</v>
      </c>
      <c r="L3" s="138" t="s">
        <v>89</v>
      </c>
      <c r="N3" s="138" t="s">
        <v>90</v>
      </c>
      <c r="O3" s="138" t="s">
        <v>96</v>
      </c>
      <c r="P3" s="138" t="s">
        <v>78</v>
      </c>
    </row>
    <row r="4" spans="1:17" s="465" customFormat="1">
      <c r="A4" s="465" t="s">
        <v>221</v>
      </c>
      <c r="B4" s="465" t="s">
        <v>149</v>
      </c>
      <c r="C4" s="465" t="s">
        <v>149</v>
      </c>
      <c r="D4" s="465" t="s">
        <v>149</v>
      </c>
      <c r="E4" s="465" t="s">
        <v>149</v>
      </c>
      <c r="F4" s="465" t="s">
        <v>150</v>
      </c>
      <c r="G4" s="465" t="s">
        <v>149</v>
      </c>
      <c r="H4" s="465" t="s">
        <v>150</v>
      </c>
      <c r="J4" s="465">
        <v>168.83</v>
      </c>
      <c r="K4" s="465">
        <v>20</v>
      </c>
      <c r="L4" s="465">
        <v>6</v>
      </c>
      <c r="N4" s="465">
        <v>379.67</v>
      </c>
      <c r="O4" s="465">
        <v>40.75</v>
      </c>
      <c r="P4" s="465">
        <v>2</v>
      </c>
      <c r="Q4" s="465">
        <f>K4+O4</f>
        <v>60.75</v>
      </c>
    </row>
    <row r="5" spans="1:17" s="465" customFormat="1">
      <c r="A5" s="465" t="s">
        <v>222</v>
      </c>
      <c r="B5" s="465" t="s">
        <v>149</v>
      </c>
      <c r="C5" s="465" t="s">
        <v>149</v>
      </c>
      <c r="D5" s="465" t="s">
        <v>149</v>
      </c>
      <c r="E5" s="465" t="s">
        <v>149</v>
      </c>
      <c r="F5" s="465" t="s">
        <v>149</v>
      </c>
      <c r="G5" s="465" t="s">
        <v>149</v>
      </c>
      <c r="H5" s="465" t="s">
        <v>149</v>
      </c>
      <c r="J5" s="465">
        <v>204.53</v>
      </c>
      <c r="K5" s="465">
        <v>280.45999999999998</v>
      </c>
      <c r="L5" s="465">
        <v>1</v>
      </c>
      <c r="N5" s="465">
        <v>412.85</v>
      </c>
      <c r="O5" s="465">
        <v>34.81</v>
      </c>
      <c r="P5" s="465">
        <v>5</v>
      </c>
      <c r="Q5" s="465">
        <f t="shared" ref="Q5:Q16" si="0">K5+O5</f>
        <v>315.27</v>
      </c>
    </row>
    <row r="6" spans="1:17" s="465" customFormat="1">
      <c r="A6" s="465" t="s">
        <v>223</v>
      </c>
      <c r="B6" s="465" t="s">
        <v>149</v>
      </c>
      <c r="C6" s="465" t="s">
        <v>149</v>
      </c>
      <c r="D6" s="465" t="s">
        <v>149</v>
      </c>
      <c r="E6" s="465" t="s">
        <v>149</v>
      </c>
      <c r="F6" s="465" t="s">
        <v>149</v>
      </c>
      <c r="G6" s="465" t="s">
        <v>149</v>
      </c>
      <c r="H6" s="465" t="s">
        <v>149</v>
      </c>
      <c r="J6" s="465">
        <v>197.04</v>
      </c>
      <c r="K6" s="465">
        <v>253.71</v>
      </c>
      <c r="L6" s="465">
        <v>3</v>
      </c>
      <c r="N6" s="465">
        <v>381.08</v>
      </c>
      <c r="O6" s="465">
        <v>40.5</v>
      </c>
      <c r="P6" s="465">
        <v>3</v>
      </c>
      <c r="Q6" s="465">
        <f t="shared" si="0"/>
        <v>294.21000000000004</v>
      </c>
    </row>
    <row r="7" spans="1:17">
      <c r="A7" t="s">
        <v>224</v>
      </c>
      <c r="B7" t="s">
        <v>149</v>
      </c>
      <c r="C7" t="s">
        <v>150</v>
      </c>
      <c r="D7" t="s">
        <v>150</v>
      </c>
      <c r="E7" t="s">
        <v>150</v>
      </c>
      <c r="F7" t="s">
        <v>150</v>
      </c>
      <c r="G7" t="s">
        <v>150</v>
      </c>
      <c r="H7" t="s">
        <v>150</v>
      </c>
      <c r="J7">
        <v>0</v>
      </c>
      <c r="K7">
        <v>10</v>
      </c>
      <c r="L7">
        <v>7</v>
      </c>
      <c r="N7">
        <v>0</v>
      </c>
      <c r="O7">
        <v>0</v>
      </c>
      <c r="P7">
        <v>7</v>
      </c>
      <c r="Q7">
        <f t="shared" si="0"/>
        <v>10</v>
      </c>
    </row>
    <row r="8" spans="1:17">
      <c r="A8" t="s">
        <v>225</v>
      </c>
      <c r="B8" t="s">
        <v>149</v>
      </c>
      <c r="C8" t="s">
        <v>150</v>
      </c>
      <c r="D8" t="s">
        <v>150</v>
      </c>
      <c r="E8" t="s">
        <v>150</v>
      </c>
      <c r="F8" t="s">
        <v>150</v>
      </c>
      <c r="G8" t="s">
        <v>150</v>
      </c>
      <c r="H8" t="s">
        <v>150</v>
      </c>
      <c r="J8">
        <v>0</v>
      </c>
      <c r="K8">
        <v>10</v>
      </c>
      <c r="L8">
        <v>7</v>
      </c>
      <c r="N8">
        <v>0</v>
      </c>
      <c r="O8">
        <v>0</v>
      </c>
      <c r="P8">
        <v>7</v>
      </c>
      <c r="Q8">
        <f t="shared" si="0"/>
        <v>10</v>
      </c>
    </row>
    <row r="9" spans="1:17">
      <c r="A9" t="s">
        <v>226</v>
      </c>
      <c r="B9" t="s">
        <v>227</v>
      </c>
      <c r="J9">
        <v>0</v>
      </c>
      <c r="K9">
        <v>0</v>
      </c>
      <c r="N9">
        <v>0</v>
      </c>
      <c r="O9">
        <v>0</v>
      </c>
      <c r="Q9">
        <f t="shared" si="0"/>
        <v>0</v>
      </c>
    </row>
    <row r="10" spans="1:17">
      <c r="A10" t="s">
        <v>228</v>
      </c>
      <c r="B10" t="s">
        <v>149</v>
      </c>
      <c r="C10" t="s">
        <v>150</v>
      </c>
      <c r="D10" t="s">
        <v>150</v>
      </c>
      <c r="E10" t="s">
        <v>150</v>
      </c>
      <c r="F10" t="s">
        <v>150</v>
      </c>
      <c r="G10" t="s">
        <v>150</v>
      </c>
      <c r="H10" t="s">
        <v>150</v>
      </c>
      <c r="J10">
        <v>0</v>
      </c>
      <c r="K10">
        <v>10</v>
      </c>
      <c r="L10">
        <v>7</v>
      </c>
      <c r="N10">
        <v>0</v>
      </c>
      <c r="O10">
        <v>0</v>
      </c>
      <c r="P10">
        <v>7</v>
      </c>
      <c r="Q10">
        <f t="shared" si="0"/>
        <v>10</v>
      </c>
    </row>
    <row r="11" spans="1:17">
      <c r="A11" t="s">
        <v>229</v>
      </c>
      <c r="B11" t="s">
        <v>227</v>
      </c>
      <c r="J11">
        <v>0</v>
      </c>
      <c r="K11">
        <v>0</v>
      </c>
      <c r="N11">
        <v>0</v>
      </c>
      <c r="O11">
        <v>0</v>
      </c>
      <c r="Q11">
        <f t="shared" si="0"/>
        <v>0</v>
      </c>
    </row>
    <row r="12" spans="1:17" s="465" customFormat="1">
      <c r="A12" s="465" t="s">
        <v>230</v>
      </c>
      <c r="B12" s="465" t="s">
        <v>149</v>
      </c>
      <c r="C12" s="465" t="s">
        <v>149</v>
      </c>
      <c r="D12" s="465" t="s">
        <v>149</v>
      </c>
      <c r="E12" s="465" t="s">
        <v>149</v>
      </c>
      <c r="F12" s="465" t="s">
        <v>149</v>
      </c>
      <c r="G12" s="465" t="s">
        <v>149</v>
      </c>
      <c r="H12" s="465" t="s">
        <v>149</v>
      </c>
      <c r="J12" s="465">
        <v>199.74</v>
      </c>
      <c r="K12" s="465">
        <v>263.36</v>
      </c>
      <c r="L12" s="465">
        <v>2</v>
      </c>
      <c r="N12" s="465">
        <v>328</v>
      </c>
      <c r="O12" s="465">
        <v>50</v>
      </c>
      <c r="P12" s="465">
        <v>1</v>
      </c>
      <c r="Q12" s="465">
        <f t="shared" si="0"/>
        <v>313.36</v>
      </c>
    </row>
    <row r="13" spans="1:17">
      <c r="A13" t="s">
        <v>231</v>
      </c>
      <c r="B13" t="s">
        <v>149</v>
      </c>
      <c r="C13" t="s">
        <v>150</v>
      </c>
      <c r="D13" t="s">
        <v>150</v>
      </c>
      <c r="E13" t="s">
        <v>150</v>
      </c>
      <c r="F13" t="s">
        <v>150</v>
      </c>
      <c r="G13" t="s">
        <v>150</v>
      </c>
      <c r="H13" t="s">
        <v>150</v>
      </c>
      <c r="J13">
        <v>0</v>
      </c>
      <c r="K13">
        <v>10</v>
      </c>
      <c r="L13">
        <v>7</v>
      </c>
      <c r="N13">
        <v>0</v>
      </c>
      <c r="O13">
        <v>0</v>
      </c>
      <c r="P13">
        <v>7</v>
      </c>
      <c r="Q13">
        <f t="shared" si="0"/>
        <v>10</v>
      </c>
    </row>
    <row r="14" spans="1:17">
      <c r="A14" t="s">
        <v>232</v>
      </c>
      <c r="B14" t="s">
        <v>149</v>
      </c>
      <c r="C14" t="s">
        <v>150</v>
      </c>
      <c r="D14" t="s">
        <v>150</v>
      </c>
      <c r="E14" t="s">
        <v>150</v>
      </c>
      <c r="F14" t="s">
        <v>150</v>
      </c>
      <c r="G14" t="s">
        <v>150</v>
      </c>
      <c r="H14" t="s">
        <v>150</v>
      </c>
      <c r="J14">
        <v>0</v>
      </c>
      <c r="K14">
        <v>10</v>
      </c>
      <c r="L14">
        <v>7</v>
      </c>
      <c r="N14">
        <v>0</v>
      </c>
      <c r="O14">
        <v>0</v>
      </c>
      <c r="P14">
        <v>7</v>
      </c>
      <c r="Q14">
        <f t="shared" si="0"/>
        <v>10</v>
      </c>
    </row>
    <row r="15" spans="1:17">
      <c r="A15" t="s">
        <v>233</v>
      </c>
      <c r="B15" t="s">
        <v>149</v>
      </c>
      <c r="C15" t="s">
        <v>149</v>
      </c>
      <c r="D15" t="s">
        <v>150</v>
      </c>
      <c r="E15" t="s">
        <v>150</v>
      </c>
      <c r="F15" t="s">
        <v>150</v>
      </c>
      <c r="G15" t="s">
        <v>149</v>
      </c>
      <c r="H15" t="s">
        <v>150</v>
      </c>
      <c r="J15">
        <v>39.369999999999997</v>
      </c>
      <c r="K15">
        <v>20</v>
      </c>
      <c r="L15">
        <v>5</v>
      </c>
      <c r="N15">
        <v>593.29999999999995</v>
      </c>
      <c r="O15">
        <v>2.5</v>
      </c>
      <c r="P15">
        <v>6</v>
      </c>
      <c r="Q15">
        <f t="shared" si="0"/>
        <v>22.5</v>
      </c>
    </row>
    <row r="16" spans="1:17" s="465" customFormat="1">
      <c r="A16" s="465" t="s">
        <v>234</v>
      </c>
      <c r="B16" s="465" t="s">
        <v>149</v>
      </c>
      <c r="C16" s="465" t="s">
        <v>149</v>
      </c>
      <c r="D16" s="465" t="s">
        <v>149</v>
      </c>
      <c r="E16" s="465" t="s">
        <v>149</v>
      </c>
      <c r="F16" s="465" t="s">
        <v>149</v>
      </c>
      <c r="G16" s="465" t="s">
        <v>149</v>
      </c>
      <c r="H16" s="465" t="s">
        <v>149</v>
      </c>
      <c r="J16" s="465">
        <v>188.61</v>
      </c>
      <c r="K16" s="465">
        <v>223.61</v>
      </c>
      <c r="L16" s="465">
        <v>4</v>
      </c>
      <c r="N16" s="465">
        <v>398.73</v>
      </c>
      <c r="O16" s="465">
        <v>37.340000000000003</v>
      </c>
      <c r="P16" s="465">
        <v>4</v>
      </c>
      <c r="Q16" s="465">
        <f t="shared" si="0"/>
        <v>260.95000000000005</v>
      </c>
    </row>
    <row r="18" spans="1:3">
      <c r="A18" t="s">
        <v>151</v>
      </c>
      <c r="B18" t="s">
        <v>152</v>
      </c>
      <c r="C18">
        <v>188.61</v>
      </c>
    </row>
    <row r="19" spans="1:3">
      <c r="A19" t="s">
        <v>153</v>
      </c>
      <c r="B19" t="s">
        <v>152</v>
      </c>
      <c r="C19">
        <v>204.53</v>
      </c>
    </row>
    <row r="21" spans="1:3">
      <c r="A21" t="s">
        <v>154</v>
      </c>
      <c r="B21" t="s">
        <v>155</v>
      </c>
      <c r="C21">
        <v>0</v>
      </c>
    </row>
    <row r="22" spans="1:3">
      <c r="A22" t="s">
        <v>156</v>
      </c>
      <c r="B22" t="s">
        <v>155</v>
      </c>
      <c r="C22">
        <v>593.29999999999995</v>
      </c>
    </row>
    <row r="24" spans="1:3">
      <c r="A24" t="s">
        <v>235</v>
      </c>
    </row>
    <row r="25" spans="1:3">
      <c r="A25" t="s">
        <v>236</v>
      </c>
    </row>
    <row r="26" spans="1:3">
      <c r="A26" t="s">
        <v>91</v>
      </c>
    </row>
  </sheetData>
  <phoneticPr fontId="25" type="noConversion"/>
  <printOptions gridLines="1"/>
  <pageMargins left="0.25" right="0.25" top="1" bottom="1" header="0.5" footer="0.5"/>
  <pageSetup scale="58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J97"/>
  <sheetViews>
    <sheetView zoomScaleNormal="100" zoomScalePageLayoutView="125" workbookViewId="0"/>
  </sheetViews>
  <sheetFormatPr defaultColWidth="8.85546875" defaultRowHeight="12.75"/>
  <cols>
    <col min="2" max="2" width="55.5703125" customWidth="1"/>
    <col min="3" max="3" width="12.5703125" customWidth="1"/>
    <col min="4" max="4" width="12.42578125" customWidth="1"/>
    <col min="5" max="5" width="8.42578125" customWidth="1"/>
    <col min="6" max="6" width="13.42578125" customWidth="1"/>
    <col min="7" max="7" width="15.42578125" customWidth="1"/>
    <col min="8" max="9" width="9.42578125" customWidth="1"/>
    <col min="10" max="10" width="9.140625" customWidth="1"/>
    <col min="12" max="12" width="10" style="232" customWidth="1"/>
    <col min="13" max="13" width="27" style="3" customWidth="1"/>
    <col min="14" max="14" width="10.5703125" style="3" customWidth="1"/>
    <col min="15" max="15" width="8.5703125" style="3" customWidth="1"/>
    <col min="16" max="16" width="3" style="3" customWidth="1"/>
    <col min="17" max="23" width="8.5703125" style="37" customWidth="1"/>
    <col min="24" max="24" width="10" style="37" customWidth="1"/>
    <col min="25" max="26" width="8.5703125" style="37" customWidth="1"/>
    <col min="27" max="27" width="8.5703125" customWidth="1"/>
    <col min="28" max="28" width="2.140625" customWidth="1"/>
    <col min="29" max="29" width="16.42578125" style="3" customWidth="1"/>
    <col min="30" max="30" width="12.5703125" style="3" customWidth="1"/>
    <col min="31" max="34" width="8.5703125" customWidth="1"/>
  </cols>
  <sheetData>
    <row r="1" spans="1:36" ht="37.5">
      <c r="B1" s="351" t="s">
        <v>197</v>
      </c>
      <c r="C1" s="21"/>
      <c r="D1" s="21"/>
      <c r="E1" s="21"/>
      <c r="F1" s="21" t="s">
        <v>92</v>
      </c>
      <c r="G1" s="171">
        <f>MIN(C6:C18)</f>
        <v>7.3040000000000003</v>
      </c>
      <c r="H1" s="21"/>
      <c r="I1" s="21" t="s">
        <v>94</v>
      </c>
      <c r="J1" s="21"/>
      <c r="K1" s="238">
        <f>MIN(I6:I18)</f>
        <v>12.745098039215687</v>
      </c>
      <c r="L1" s="223"/>
      <c r="M1" s="27"/>
      <c r="N1" s="27"/>
      <c r="O1" s="27"/>
      <c r="P1" s="27"/>
      <c r="Q1" s="105"/>
      <c r="R1" s="74"/>
      <c r="S1" s="75"/>
      <c r="T1" s="75"/>
      <c r="U1" s="75"/>
      <c r="V1" s="75"/>
      <c r="W1" s="75"/>
      <c r="X1" s="75"/>
      <c r="Y1" s="75"/>
      <c r="Z1" s="75"/>
      <c r="AA1" s="76"/>
      <c r="AB1" s="77"/>
      <c r="AC1" s="78"/>
      <c r="AD1" s="55"/>
      <c r="AE1" s="1"/>
      <c r="AF1" s="1"/>
      <c r="AG1" s="1"/>
    </row>
    <row r="2" spans="1:36">
      <c r="B2" s="70"/>
      <c r="C2" s="24"/>
      <c r="D2" s="24"/>
      <c r="E2" s="24"/>
      <c r="F2" s="24" t="s">
        <v>93</v>
      </c>
      <c r="G2" s="171">
        <f>MAX(C6:C18)</f>
        <v>101.80800000000001</v>
      </c>
      <c r="H2" s="24"/>
      <c r="I2" s="24" t="s">
        <v>95</v>
      </c>
      <c r="J2" s="24"/>
      <c r="K2" s="350">
        <f>MAX(I6:I18)</f>
        <v>18.714285714285712</v>
      </c>
      <c r="L2" s="224"/>
      <c r="M2" s="106"/>
      <c r="N2" s="47"/>
      <c r="O2" s="47"/>
      <c r="P2" s="47"/>
      <c r="Q2" s="107"/>
      <c r="R2" s="81"/>
      <c r="S2" s="81"/>
      <c r="T2" s="75"/>
      <c r="U2" s="75"/>
      <c r="V2" s="75"/>
      <c r="W2" s="75"/>
      <c r="X2" s="75"/>
      <c r="Y2" s="75"/>
      <c r="Z2" s="75"/>
      <c r="AA2" s="76"/>
      <c r="AB2" s="77"/>
      <c r="AC2" s="78"/>
      <c r="AD2" s="55"/>
      <c r="AE2" s="1"/>
      <c r="AF2" s="1"/>
      <c r="AG2" s="1"/>
    </row>
    <row r="3" spans="1:36">
      <c r="B3" s="266"/>
      <c r="C3" s="16" t="s">
        <v>81</v>
      </c>
      <c r="D3" s="23"/>
      <c r="E3" s="23"/>
      <c r="F3" s="23"/>
      <c r="G3" s="23"/>
      <c r="H3" s="23"/>
      <c r="I3" s="23"/>
      <c r="J3" s="23"/>
      <c r="K3" s="16"/>
      <c r="L3" s="225"/>
      <c r="M3" s="27"/>
      <c r="N3" s="23"/>
      <c r="O3" s="23"/>
      <c r="P3" s="23"/>
      <c r="Q3" s="108"/>
      <c r="R3" s="83"/>
      <c r="S3" s="81"/>
      <c r="T3" s="75"/>
      <c r="U3" s="75"/>
      <c r="V3" s="75"/>
      <c r="W3" s="75"/>
      <c r="X3" s="75"/>
      <c r="Y3" s="75"/>
      <c r="Z3" s="75"/>
      <c r="AA3" s="76"/>
      <c r="AB3" s="77"/>
      <c r="AC3" s="78"/>
      <c r="AD3" s="55"/>
      <c r="AE3" s="1"/>
      <c r="AF3" s="1"/>
      <c r="AG3" s="1"/>
    </row>
    <row r="4" spans="1:36">
      <c r="B4" s="16"/>
      <c r="C4" s="16"/>
      <c r="D4" s="23"/>
      <c r="E4" s="23"/>
      <c r="F4" s="23" t="s">
        <v>42</v>
      </c>
      <c r="G4" s="23"/>
      <c r="H4" s="23"/>
      <c r="I4" s="23"/>
      <c r="J4" s="23"/>
      <c r="K4" s="23"/>
      <c r="L4" s="225"/>
      <c r="M4" s="27"/>
      <c r="N4" s="23"/>
      <c r="O4" s="23"/>
      <c r="P4" s="23"/>
      <c r="Q4" s="108"/>
      <c r="R4" s="83"/>
      <c r="S4" s="81"/>
      <c r="T4" s="75"/>
      <c r="U4" s="75"/>
      <c r="V4" s="75"/>
      <c r="W4" s="75"/>
      <c r="X4" s="75"/>
      <c r="Y4" s="75"/>
      <c r="Z4" s="75"/>
      <c r="AA4" s="76"/>
      <c r="AB4" s="77"/>
      <c r="AC4" s="78"/>
      <c r="AD4" s="55"/>
      <c r="AE4" s="1"/>
      <c r="AF4" s="1"/>
      <c r="AG4" s="1"/>
    </row>
    <row r="5" spans="1:36" ht="25.5">
      <c r="C5" s="309" t="s">
        <v>140</v>
      </c>
      <c r="D5" s="35" t="s">
        <v>79</v>
      </c>
      <c r="E5" s="23" t="s">
        <v>27</v>
      </c>
      <c r="F5" s="23"/>
      <c r="G5" s="309" t="s">
        <v>144</v>
      </c>
      <c r="H5" s="309" t="s">
        <v>103</v>
      </c>
      <c r="I5" s="35" t="s">
        <v>135</v>
      </c>
      <c r="J5" s="35" t="s">
        <v>167</v>
      </c>
      <c r="K5" s="35" t="s">
        <v>168</v>
      </c>
      <c r="L5" s="349" t="s">
        <v>166</v>
      </c>
      <c r="M5" s="310" t="s">
        <v>104</v>
      </c>
      <c r="N5" s="20"/>
      <c r="O5" s="27"/>
      <c r="P5" s="27"/>
      <c r="Q5" s="105"/>
      <c r="R5" s="74"/>
      <c r="S5" s="74"/>
      <c r="T5" s="74"/>
      <c r="U5" s="74"/>
      <c r="V5" s="74"/>
      <c r="W5" s="74"/>
      <c r="X5" s="74"/>
      <c r="Y5" s="74"/>
      <c r="Z5" s="74"/>
      <c r="AA5" s="73"/>
      <c r="AB5" s="84"/>
      <c r="AC5" s="85"/>
    </row>
    <row r="6" spans="1:36" ht="20.25">
      <c r="A6" s="376">
        <v>1</v>
      </c>
      <c r="B6" s="376" t="s">
        <v>179</v>
      </c>
      <c r="C6" s="411">
        <v>7.3040000000000003</v>
      </c>
      <c r="D6" s="336">
        <v>50</v>
      </c>
      <c r="E6" s="200">
        <v>1</v>
      </c>
      <c r="F6" s="158"/>
      <c r="G6" s="413">
        <v>7.0000000000000007E-2</v>
      </c>
      <c r="H6" s="414">
        <v>1.31</v>
      </c>
      <c r="I6" s="348">
        <v>18.714285714285712</v>
      </c>
      <c r="J6" s="282">
        <v>50</v>
      </c>
      <c r="K6" s="200">
        <v>1</v>
      </c>
      <c r="L6" s="110">
        <v>100</v>
      </c>
      <c r="M6" s="311"/>
      <c r="N6" s="112"/>
      <c r="O6" s="27"/>
      <c r="P6" s="27"/>
      <c r="Q6" s="109"/>
      <c r="R6" s="74"/>
      <c r="S6" s="74"/>
      <c r="T6" s="74"/>
      <c r="U6" s="74"/>
      <c r="V6" s="74"/>
      <c r="W6" s="74"/>
      <c r="X6" s="74"/>
      <c r="Y6" s="74"/>
      <c r="Z6" s="74"/>
      <c r="AA6" s="73"/>
      <c r="AB6" s="84"/>
      <c r="AC6" s="85"/>
      <c r="AI6" s="29"/>
      <c r="AJ6" s="29"/>
    </row>
    <row r="7" spans="1:36" ht="20.25">
      <c r="A7" s="376">
        <v>2</v>
      </c>
      <c r="B7" s="376" t="s">
        <v>180</v>
      </c>
      <c r="C7" s="412">
        <v>11.874000000000001</v>
      </c>
      <c r="D7" s="336">
        <v>47.703007280115131</v>
      </c>
      <c r="E7" s="200">
        <v>2</v>
      </c>
      <c r="F7" s="174"/>
      <c r="G7" s="415">
        <v>7.6999999999999999E-2</v>
      </c>
      <c r="H7" s="416">
        <v>1.31</v>
      </c>
      <c r="I7" s="348">
        <v>17.012987012987015</v>
      </c>
      <c r="J7" s="282">
        <v>35.749328100337038</v>
      </c>
      <c r="K7" s="200">
        <v>3</v>
      </c>
      <c r="L7" s="110">
        <v>83.452335380452169</v>
      </c>
      <c r="M7" s="311"/>
      <c r="N7" s="112"/>
      <c r="O7" s="27"/>
      <c r="P7" s="27"/>
      <c r="Q7" s="105"/>
      <c r="R7" s="74"/>
      <c r="S7" s="74"/>
      <c r="T7" s="74"/>
      <c r="U7" s="74"/>
      <c r="V7" s="74"/>
      <c r="W7" s="74"/>
      <c r="X7" s="74"/>
      <c r="Y7" s="74"/>
      <c r="Z7" s="74"/>
      <c r="AA7" s="73"/>
      <c r="AB7" s="84"/>
      <c r="AC7" s="85"/>
      <c r="AI7" s="29"/>
      <c r="AJ7" s="29"/>
    </row>
    <row r="8" spans="1:36" ht="20.25">
      <c r="A8" s="376">
        <v>3</v>
      </c>
      <c r="B8" s="376" t="s">
        <v>181</v>
      </c>
      <c r="C8" s="412">
        <v>12.131</v>
      </c>
      <c r="D8" s="336">
        <v>47.573832853635828</v>
      </c>
      <c r="E8" s="200">
        <v>3</v>
      </c>
      <c r="F8" s="174"/>
      <c r="G8" s="415">
        <v>8.5999999999999993E-2</v>
      </c>
      <c r="H8" s="416">
        <v>1.3</v>
      </c>
      <c r="I8" s="348">
        <v>15.116279069767444</v>
      </c>
      <c r="J8" s="282">
        <v>19.861840166752174</v>
      </c>
      <c r="K8" s="200">
        <v>6</v>
      </c>
      <c r="L8" s="110">
        <v>67.435673020388009</v>
      </c>
      <c r="M8" s="311"/>
      <c r="N8" s="112"/>
      <c r="O8" s="27"/>
      <c r="P8" s="27"/>
      <c r="Q8" s="105"/>
      <c r="R8" s="74"/>
      <c r="S8" s="74"/>
      <c r="T8" s="74"/>
      <c r="U8" s="74"/>
      <c r="V8" s="74"/>
      <c r="W8" s="74"/>
      <c r="X8" s="74"/>
      <c r="Y8" s="74"/>
      <c r="Z8" s="74"/>
      <c r="AA8" s="73"/>
      <c r="AB8" s="84"/>
      <c r="AC8" s="85"/>
      <c r="AI8" s="29"/>
      <c r="AJ8" s="29"/>
    </row>
    <row r="9" spans="1:36" s="177" customFormat="1" ht="20.25">
      <c r="A9" s="376">
        <v>4</v>
      </c>
      <c r="B9" s="376" t="s">
        <v>182</v>
      </c>
      <c r="C9" s="412">
        <v>16.094999999999999</v>
      </c>
      <c r="D9" s="336">
        <v>45.58143041564378</v>
      </c>
      <c r="E9" s="200">
        <v>5</v>
      </c>
      <c r="F9" s="188"/>
      <c r="G9" s="415">
        <v>9.0999999999999998E-2</v>
      </c>
      <c r="H9" s="416">
        <v>1.29</v>
      </c>
      <c r="I9" s="348">
        <v>14.175824175824177</v>
      </c>
      <c r="J9" s="282">
        <v>11.984261632314201</v>
      </c>
      <c r="K9" s="200">
        <v>9</v>
      </c>
      <c r="L9" s="110">
        <v>57.565692047957981</v>
      </c>
      <c r="M9" s="311"/>
      <c r="N9" s="191"/>
      <c r="O9" s="186"/>
      <c r="P9" s="186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0"/>
      <c r="AC9" s="178"/>
      <c r="AD9" s="178"/>
      <c r="AI9" s="190"/>
      <c r="AJ9" s="190"/>
    </row>
    <row r="10" spans="1:36" s="177" customFormat="1" ht="20.25">
      <c r="A10" s="376">
        <v>7</v>
      </c>
      <c r="B10" s="376" t="s">
        <v>183</v>
      </c>
      <c r="C10" s="412">
        <v>55.109000000000002</v>
      </c>
      <c r="D10" s="336">
        <v>25.972048802167105</v>
      </c>
      <c r="E10" s="200">
        <v>8</v>
      </c>
      <c r="F10" s="188"/>
      <c r="G10" s="415">
        <v>7.8E-2</v>
      </c>
      <c r="H10" s="416">
        <v>1.31</v>
      </c>
      <c r="I10" s="348">
        <v>16.794871794871796</v>
      </c>
      <c r="J10" s="282">
        <v>33.92231888243154</v>
      </c>
      <c r="K10" s="200">
        <v>4</v>
      </c>
      <c r="L10" s="110">
        <v>59.894367684598649</v>
      </c>
      <c r="M10" s="311"/>
      <c r="N10" s="191"/>
      <c r="O10" s="186"/>
      <c r="P10" s="186"/>
      <c r="Q10" s="192"/>
      <c r="R10" s="192"/>
      <c r="S10" s="192"/>
      <c r="T10" s="192"/>
      <c r="U10" s="189"/>
      <c r="V10" s="189"/>
      <c r="W10" s="189"/>
      <c r="X10" s="189"/>
      <c r="Y10" s="189"/>
      <c r="Z10" s="189"/>
      <c r="AA10" s="180"/>
      <c r="AC10" s="178"/>
      <c r="AD10" s="178"/>
      <c r="AI10" s="190"/>
      <c r="AJ10" s="190"/>
    </row>
    <row r="11" spans="1:36" ht="20.25">
      <c r="A11" s="376">
        <v>8</v>
      </c>
      <c r="B11" s="376" t="s">
        <v>184</v>
      </c>
      <c r="C11" s="412"/>
      <c r="D11" s="336"/>
      <c r="E11" s="200"/>
      <c r="F11" s="158"/>
      <c r="G11" s="415"/>
      <c r="H11" s="416"/>
      <c r="I11" s="348"/>
      <c r="J11" s="282"/>
      <c r="K11" s="200"/>
      <c r="L11" s="110"/>
      <c r="M11" s="311"/>
      <c r="N11" s="112"/>
      <c r="O11" s="27"/>
      <c r="P11" s="27"/>
      <c r="Q11" s="109"/>
      <c r="R11" s="87"/>
      <c r="S11" s="87"/>
      <c r="T11" s="87"/>
      <c r="U11" s="74"/>
      <c r="V11" s="74"/>
      <c r="W11" s="74"/>
      <c r="X11" s="74"/>
      <c r="Y11" s="74"/>
      <c r="Z11" s="74"/>
      <c r="AA11" s="73"/>
      <c r="AB11" s="84"/>
      <c r="AC11" s="85"/>
      <c r="AI11" s="29"/>
      <c r="AJ11" s="29"/>
    </row>
    <row r="12" spans="1:36" ht="20.25">
      <c r="A12" s="376">
        <v>9</v>
      </c>
      <c r="B12" s="376" t="s">
        <v>185</v>
      </c>
      <c r="C12" s="412">
        <v>48.92</v>
      </c>
      <c r="D12" s="336">
        <v>29.082790146448829</v>
      </c>
      <c r="E12" s="200">
        <v>7</v>
      </c>
      <c r="F12" s="158"/>
      <c r="G12" s="415">
        <v>8.6999999999999994E-2</v>
      </c>
      <c r="H12" s="416">
        <v>1.3</v>
      </c>
      <c r="I12" s="348">
        <v>14.942528735632186</v>
      </c>
      <c r="J12" s="282">
        <v>18.406446706257412</v>
      </c>
      <c r="K12" s="200">
        <v>7</v>
      </c>
      <c r="L12" s="110">
        <v>47.489236852706242</v>
      </c>
      <c r="M12" s="311"/>
      <c r="N12" s="112"/>
      <c r="O12" s="27"/>
      <c r="P12" s="27"/>
      <c r="Q12" s="109"/>
      <c r="R12" s="87"/>
      <c r="S12" s="87"/>
      <c r="T12" s="87"/>
      <c r="U12" s="74"/>
      <c r="V12" s="74"/>
      <c r="W12" s="74"/>
      <c r="X12" s="74"/>
      <c r="Y12" s="74"/>
      <c r="Z12" s="74"/>
      <c r="AA12" s="73"/>
      <c r="AB12" s="84"/>
      <c r="AC12" s="85"/>
      <c r="AI12" s="29"/>
      <c r="AJ12" s="29"/>
    </row>
    <row r="13" spans="1:36" ht="20.25">
      <c r="A13" s="376">
        <v>10</v>
      </c>
      <c r="B13" s="376" t="s">
        <v>186</v>
      </c>
      <c r="C13" s="412"/>
      <c r="D13" s="336"/>
      <c r="E13" s="200"/>
      <c r="F13" s="174"/>
      <c r="G13" s="415"/>
      <c r="H13" s="416"/>
      <c r="I13" s="348"/>
      <c r="J13" s="282"/>
      <c r="K13" s="200"/>
      <c r="L13" s="110"/>
      <c r="M13" s="311"/>
      <c r="N13" s="112"/>
      <c r="O13" s="27"/>
      <c r="P13" s="27"/>
      <c r="Q13" s="105"/>
      <c r="R13" s="74"/>
      <c r="S13" s="74"/>
      <c r="T13" s="74"/>
      <c r="U13" s="74"/>
      <c r="V13" s="74"/>
      <c r="W13" s="74"/>
      <c r="X13" s="74"/>
      <c r="Y13" s="74"/>
      <c r="Z13" s="74"/>
      <c r="AA13" s="73"/>
      <c r="AB13" s="84"/>
      <c r="AC13" s="85"/>
      <c r="AI13" s="29"/>
      <c r="AJ13" s="29"/>
    </row>
    <row r="14" spans="1:36" ht="20.25">
      <c r="A14" s="376">
        <v>11</v>
      </c>
      <c r="B14" s="376" t="s">
        <v>187</v>
      </c>
      <c r="C14" s="412">
        <v>12.962</v>
      </c>
      <c r="D14" s="336">
        <v>47.156152120545165</v>
      </c>
      <c r="E14" s="200">
        <v>4</v>
      </c>
      <c r="F14" s="158"/>
      <c r="G14" s="415">
        <v>8.8999999999999996E-2</v>
      </c>
      <c r="H14" s="416">
        <v>1.31</v>
      </c>
      <c r="I14" s="348">
        <v>14.719101123595507</v>
      </c>
      <c r="J14" s="282">
        <v>16.534939022139753</v>
      </c>
      <c r="K14" s="200">
        <v>8</v>
      </c>
      <c r="L14" s="110">
        <v>63.691091142684918</v>
      </c>
      <c r="M14" s="311"/>
      <c r="N14" s="112"/>
      <c r="O14" s="27"/>
      <c r="P14" s="27"/>
      <c r="Q14" s="105"/>
      <c r="R14" s="74"/>
      <c r="S14" s="74"/>
      <c r="T14" s="74"/>
      <c r="U14" s="74"/>
      <c r="V14" s="74"/>
      <c r="W14" s="74"/>
      <c r="X14" s="74"/>
      <c r="Y14" s="74"/>
      <c r="Z14" s="74"/>
      <c r="AA14" s="73"/>
      <c r="AB14" s="84"/>
      <c r="AC14" s="85"/>
      <c r="AI14" s="29"/>
      <c r="AJ14" s="29"/>
    </row>
    <row r="15" spans="1:36" ht="20.25">
      <c r="A15" s="376">
        <v>14</v>
      </c>
      <c r="B15" s="376" t="s">
        <v>188</v>
      </c>
      <c r="C15" s="412">
        <v>83.992000000000004</v>
      </c>
      <c r="D15" s="336">
        <v>11.45475323795818</v>
      </c>
      <c r="E15" s="200">
        <v>9</v>
      </c>
      <c r="F15" s="299"/>
      <c r="G15" s="415">
        <v>8.5000000000000006E-2</v>
      </c>
      <c r="H15" s="416">
        <v>1.31</v>
      </c>
      <c r="I15" s="348">
        <v>15.411764705882353</v>
      </c>
      <c r="J15" s="282">
        <v>22.336931018301271</v>
      </c>
      <c r="K15" s="200">
        <v>5</v>
      </c>
      <c r="L15" s="110">
        <v>33.791684256259451</v>
      </c>
      <c r="M15" s="311"/>
      <c r="N15" s="112"/>
      <c r="O15" s="27"/>
      <c r="P15" s="27"/>
      <c r="Q15" s="105"/>
      <c r="R15" s="74"/>
      <c r="S15" s="74"/>
      <c r="T15" s="74"/>
      <c r="U15" s="74"/>
      <c r="V15" s="74"/>
      <c r="W15" s="74"/>
      <c r="X15" s="74"/>
      <c r="Y15" s="74"/>
      <c r="Z15" s="74"/>
      <c r="AA15" s="73"/>
      <c r="AB15" s="84"/>
      <c r="AC15" s="85"/>
      <c r="AI15" s="29"/>
      <c r="AJ15" s="29"/>
    </row>
    <row r="16" spans="1:36" s="125" customFormat="1" ht="20.25">
      <c r="A16" s="376">
        <v>15</v>
      </c>
      <c r="B16" s="376" t="s">
        <v>189</v>
      </c>
      <c r="C16" s="412">
        <v>100.753</v>
      </c>
      <c r="D16" s="336">
        <v>3.0302685600609536</v>
      </c>
      <c r="E16" s="200">
        <v>10</v>
      </c>
      <c r="F16" s="158"/>
      <c r="G16" s="415">
        <v>9.7000000000000003E-2</v>
      </c>
      <c r="H16" s="416">
        <v>1.3</v>
      </c>
      <c r="I16" s="348">
        <v>13.402061855670103</v>
      </c>
      <c r="J16" s="282">
        <v>5.502958293623351</v>
      </c>
      <c r="K16" s="200">
        <v>10</v>
      </c>
      <c r="L16" s="110">
        <v>8.5332268536843046</v>
      </c>
      <c r="M16" s="311"/>
      <c r="N16" s="133"/>
      <c r="O16" s="132"/>
      <c r="P16" s="132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20"/>
      <c r="AB16" s="128"/>
      <c r="AC16" s="127"/>
      <c r="AD16" s="124"/>
      <c r="AI16" s="135"/>
      <c r="AJ16" s="135"/>
    </row>
    <row r="17" spans="1:36" s="125" customFormat="1" ht="20.25">
      <c r="A17" s="376">
        <v>16</v>
      </c>
      <c r="B17" s="376" t="s">
        <v>190</v>
      </c>
      <c r="C17" s="412">
        <v>101.80800000000001</v>
      </c>
      <c r="D17" s="336">
        <v>2.5</v>
      </c>
      <c r="E17" s="200">
        <v>11</v>
      </c>
      <c r="F17" s="158"/>
      <c r="G17" s="415">
        <v>0.10199999999999999</v>
      </c>
      <c r="H17" s="416">
        <v>1.3</v>
      </c>
      <c r="I17" s="348">
        <v>12.745098039215687</v>
      </c>
      <c r="J17" s="282">
        <v>0</v>
      </c>
      <c r="K17" s="200">
        <v>11</v>
      </c>
      <c r="L17" s="110">
        <v>2.5</v>
      </c>
      <c r="M17" s="311"/>
      <c r="N17" s="133"/>
      <c r="O17" s="132"/>
      <c r="P17" s="132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20"/>
      <c r="AB17" s="128"/>
      <c r="AC17" s="127"/>
      <c r="AD17" s="124"/>
      <c r="AI17" s="135"/>
      <c r="AJ17" s="135"/>
    </row>
    <row r="18" spans="1:36" ht="20.25">
      <c r="A18" s="376">
        <v>17</v>
      </c>
      <c r="B18" s="376" t="s">
        <v>191</v>
      </c>
      <c r="C18" s="412">
        <v>32.917999999999999</v>
      </c>
      <c r="D18" s="336">
        <v>37.125783035638705</v>
      </c>
      <c r="E18" s="200">
        <v>6</v>
      </c>
      <c r="F18" s="158"/>
      <c r="G18" s="415">
        <v>7.1999999999999995E-2</v>
      </c>
      <c r="H18" s="416">
        <v>1.3</v>
      </c>
      <c r="I18" s="348">
        <v>18.055555555555557</v>
      </c>
      <c r="J18" s="282">
        <v>44.482246206788716</v>
      </c>
      <c r="K18" s="200">
        <v>2</v>
      </c>
      <c r="L18" s="110">
        <v>81.608029242427421</v>
      </c>
      <c r="M18" s="312"/>
      <c r="N18" s="36"/>
      <c r="O18" s="36"/>
      <c r="P18" s="36"/>
      <c r="Q18" s="111"/>
      <c r="R18" s="89"/>
      <c r="S18" s="89"/>
      <c r="T18" s="90"/>
      <c r="U18" s="90"/>
      <c r="V18" s="90"/>
      <c r="W18" s="90"/>
      <c r="X18" s="90"/>
      <c r="Y18" s="90"/>
      <c r="Z18" s="90"/>
      <c r="AA18" s="91"/>
      <c r="AB18" s="92"/>
      <c r="AC18" s="93"/>
      <c r="AD18" s="43"/>
      <c r="AE18" s="30"/>
      <c r="AF18" s="30"/>
      <c r="AG18" s="30"/>
      <c r="AH18" s="30"/>
      <c r="AI18" s="29"/>
      <c r="AJ18" s="29"/>
    </row>
    <row r="19" spans="1:36" ht="15">
      <c r="B19" s="283"/>
      <c r="C19" s="117"/>
      <c r="D19" s="88"/>
      <c r="E19" s="88"/>
      <c r="F19" s="88"/>
      <c r="G19" s="88"/>
      <c r="H19" s="88"/>
      <c r="I19" s="88"/>
      <c r="J19" s="88"/>
      <c r="K19" s="88"/>
      <c r="L19" s="226"/>
      <c r="M19" s="313"/>
      <c r="N19" s="88"/>
      <c r="O19" s="94"/>
      <c r="P19" s="86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95"/>
      <c r="AB19" s="100"/>
      <c r="AC19" s="102"/>
      <c r="AD19" s="43"/>
      <c r="AE19" s="30"/>
      <c r="AF19" s="30"/>
      <c r="AG19" s="30"/>
      <c r="AH19" s="30"/>
      <c r="AI19" s="29"/>
      <c r="AJ19" s="29"/>
    </row>
    <row r="20" spans="1:36">
      <c r="B20" s="79"/>
      <c r="C20" s="88"/>
      <c r="D20" s="88"/>
      <c r="E20" s="88"/>
      <c r="F20" s="88"/>
      <c r="G20" s="88"/>
      <c r="H20" s="88"/>
      <c r="I20" s="88"/>
      <c r="J20" s="88"/>
      <c r="K20" s="88"/>
      <c r="L20" s="226"/>
      <c r="M20" s="88"/>
      <c r="N20" s="88"/>
      <c r="O20" s="94"/>
      <c r="P20" s="86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95"/>
      <c r="AB20" s="100"/>
      <c r="AC20" s="102"/>
      <c r="AD20" s="43"/>
      <c r="AE20" s="30"/>
      <c r="AF20" s="30"/>
      <c r="AG20" s="30"/>
      <c r="AH20" s="30"/>
      <c r="AI20" s="29"/>
      <c r="AJ20" s="29"/>
    </row>
    <row r="21" spans="1:36" ht="15">
      <c r="B21" s="79" t="s">
        <v>164</v>
      </c>
      <c r="C21" s="291">
        <f>(50-2.5)/(G1-G2)</f>
        <v>-0.50262422754592395</v>
      </c>
      <c r="E21" s="123"/>
      <c r="F21" s="88"/>
      <c r="G21" s="291">
        <f>(50)/(K2-K1)</f>
        <v>8.3763491318629804</v>
      </c>
      <c r="H21" s="88"/>
      <c r="J21" s="88"/>
      <c r="K21" s="88"/>
      <c r="L21" s="226"/>
      <c r="M21" s="88"/>
      <c r="N21" s="88"/>
      <c r="O21" s="94"/>
      <c r="P21" s="86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95"/>
      <c r="AB21" s="103"/>
      <c r="AC21" s="102"/>
    </row>
    <row r="22" spans="1:36" ht="15">
      <c r="B22" s="79" t="s">
        <v>165</v>
      </c>
      <c r="C22" s="292">
        <f>2.5-(C21*G2)</f>
        <v>53.671167357995429</v>
      </c>
      <c r="E22" s="154" t="s">
        <v>42</v>
      </c>
      <c r="F22" s="88"/>
      <c r="G22" s="292">
        <f>-(G21*K1)</f>
        <v>-106.75739089629289</v>
      </c>
      <c r="H22" s="88"/>
      <c r="J22" s="88"/>
      <c r="K22" s="88"/>
      <c r="L22" s="226"/>
      <c r="M22" s="88"/>
      <c r="N22" s="88"/>
      <c r="O22" s="94"/>
      <c r="P22" s="86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95"/>
      <c r="AB22" s="103"/>
      <c r="AC22" s="102"/>
    </row>
    <row r="23" spans="1:36" ht="15">
      <c r="B23" s="79" t="s">
        <v>42</v>
      </c>
      <c r="C23" s="80"/>
      <c r="D23" s="153"/>
      <c r="E23" s="153"/>
      <c r="F23" s="80"/>
      <c r="G23" s="80"/>
      <c r="H23" s="80"/>
      <c r="I23" s="80"/>
      <c r="J23" s="80"/>
      <c r="K23" s="80"/>
      <c r="L23" s="226"/>
      <c r="M23" s="80"/>
      <c r="N23" s="80"/>
      <c r="O23" s="94"/>
      <c r="P23" s="86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95"/>
      <c r="AB23" s="103"/>
      <c r="AC23" s="102"/>
    </row>
    <row r="24" spans="1:36">
      <c r="B24" s="79"/>
      <c r="C24" s="88"/>
      <c r="D24" s="88" t="s">
        <v>42</v>
      </c>
      <c r="E24" s="155" t="s">
        <v>42</v>
      </c>
      <c r="F24" s="88"/>
      <c r="G24" s="88"/>
      <c r="H24" s="88"/>
      <c r="I24" s="88"/>
      <c r="J24" s="88"/>
      <c r="K24" s="88"/>
      <c r="L24" s="226"/>
      <c r="M24" s="88"/>
      <c r="N24" s="88"/>
      <c r="O24" s="94"/>
      <c r="P24" s="86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95"/>
      <c r="AB24" s="103"/>
      <c r="AC24" s="102"/>
    </row>
    <row r="25" spans="1:36">
      <c r="B25" s="79"/>
      <c r="C25" s="88"/>
      <c r="D25" s="88" t="s">
        <v>74</v>
      </c>
      <c r="E25" s="88"/>
      <c r="F25" s="88"/>
      <c r="G25" s="88"/>
      <c r="H25" s="88"/>
      <c r="I25" s="88"/>
      <c r="J25" s="88"/>
      <c r="K25" s="88"/>
      <c r="L25" s="226"/>
      <c r="M25" s="88"/>
      <c r="N25" s="88"/>
      <c r="O25" s="94"/>
      <c r="P25" s="86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95"/>
      <c r="AB25" s="103"/>
      <c r="AC25" s="102"/>
    </row>
    <row r="26" spans="1:36">
      <c r="B26" s="79"/>
      <c r="C26" s="80"/>
      <c r="D26" s="80"/>
      <c r="E26" s="80"/>
      <c r="F26" s="80"/>
      <c r="G26" s="80"/>
      <c r="H26" s="80"/>
      <c r="I26" s="80"/>
      <c r="J26" s="80"/>
      <c r="K26" s="80"/>
      <c r="L26" s="226"/>
      <c r="M26" s="80"/>
      <c r="N26" s="80"/>
      <c r="O26" s="94"/>
      <c r="P26" s="86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95"/>
      <c r="AB26" s="103"/>
      <c r="AC26" s="102"/>
    </row>
    <row r="27" spans="1:36"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226"/>
      <c r="M27" s="80"/>
      <c r="N27" s="80"/>
      <c r="O27" s="94"/>
      <c r="P27" s="86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95"/>
      <c r="AB27" s="103"/>
      <c r="AC27" s="102"/>
    </row>
    <row r="28" spans="1:36">
      <c r="B28" s="79"/>
      <c r="C28" s="88"/>
      <c r="D28" s="88"/>
      <c r="E28" s="88"/>
      <c r="F28" s="88"/>
      <c r="G28" s="88"/>
      <c r="H28" s="88"/>
      <c r="I28" s="88"/>
      <c r="J28" s="88"/>
      <c r="K28" s="88"/>
      <c r="L28" s="226"/>
      <c r="M28" s="88"/>
      <c r="N28" s="88"/>
      <c r="O28" s="94"/>
      <c r="P28" s="86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95"/>
      <c r="AB28" s="103"/>
      <c r="AC28" s="102"/>
    </row>
    <row r="29" spans="1:36">
      <c r="B29" s="79"/>
      <c r="C29" s="88"/>
      <c r="D29" s="88"/>
      <c r="E29" s="88"/>
      <c r="F29" s="88"/>
      <c r="G29" s="88"/>
      <c r="H29" s="88"/>
      <c r="I29" s="88"/>
      <c r="J29" s="88"/>
      <c r="K29" s="88"/>
      <c r="L29" s="226"/>
      <c r="M29" s="88"/>
      <c r="N29" s="88"/>
      <c r="O29" s="94"/>
      <c r="P29" s="86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95"/>
      <c r="AB29" s="103"/>
      <c r="AC29" s="102"/>
    </row>
    <row r="30" spans="1:36">
      <c r="B30" s="79"/>
      <c r="C30" s="80"/>
      <c r="D30" s="80"/>
      <c r="E30" s="80"/>
      <c r="F30" s="80"/>
      <c r="G30" s="80"/>
      <c r="H30" s="80"/>
      <c r="I30" s="80"/>
      <c r="J30" s="80"/>
      <c r="K30" s="80"/>
      <c r="L30" s="226"/>
      <c r="M30" s="80"/>
      <c r="N30" s="80"/>
      <c r="O30" s="94"/>
      <c r="P30" s="86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95"/>
      <c r="AB30" s="103"/>
      <c r="AC30" s="102"/>
    </row>
    <row r="31" spans="1:36">
      <c r="B31" s="79"/>
      <c r="C31" s="104"/>
      <c r="D31" s="88"/>
      <c r="E31" s="88"/>
      <c r="F31" s="88"/>
      <c r="G31" s="88"/>
      <c r="H31" s="88"/>
      <c r="I31" s="88"/>
      <c r="J31" s="88"/>
      <c r="K31" s="88"/>
      <c r="L31" s="226"/>
      <c r="M31" s="88"/>
      <c r="N31" s="88"/>
      <c r="O31" s="94"/>
      <c r="P31" s="86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95"/>
      <c r="AB31" s="103"/>
      <c r="AC31" s="102"/>
    </row>
    <row r="32" spans="1:36">
      <c r="B32" s="79"/>
      <c r="C32" s="88"/>
      <c r="D32" s="88"/>
      <c r="E32" s="88"/>
      <c r="F32" s="88"/>
      <c r="G32" s="88"/>
      <c r="H32" s="88"/>
      <c r="I32" s="88"/>
      <c r="J32" s="88"/>
      <c r="K32" s="88"/>
      <c r="L32" s="226"/>
      <c r="M32" s="88"/>
      <c r="N32" s="88"/>
      <c r="O32" s="95"/>
      <c r="P32" s="86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95"/>
      <c r="AB32" s="103"/>
      <c r="AC32" s="78"/>
    </row>
    <row r="33" spans="2:29">
      <c r="B33" s="79"/>
      <c r="C33" s="80"/>
      <c r="D33" s="80"/>
      <c r="E33" s="150"/>
      <c r="F33" s="66"/>
      <c r="G33" s="66"/>
      <c r="H33" s="80"/>
      <c r="I33" s="80"/>
      <c r="J33" s="80"/>
      <c r="K33" s="80"/>
      <c r="L33" s="226"/>
      <c r="M33" s="80"/>
      <c r="N33" s="80"/>
      <c r="O33" s="94"/>
      <c r="P33" s="86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95"/>
      <c r="AB33" s="103"/>
      <c r="AC33" s="102"/>
    </row>
    <row r="34" spans="2:29">
      <c r="B34" s="79"/>
      <c r="C34" s="88"/>
      <c r="D34" s="88"/>
      <c r="E34" s="66"/>
      <c r="F34" s="66"/>
      <c r="G34" s="149"/>
      <c r="H34" s="147"/>
      <c r="I34" s="147"/>
      <c r="J34" s="147"/>
      <c r="K34" s="88"/>
      <c r="L34" s="226"/>
      <c r="M34" s="88"/>
      <c r="N34" s="88"/>
      <c r="O34" s="94"/>
      <c r="P34" s="86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95"/>
      <c r="AB34" s="103"/>
      <c r="AC34" s="102"/>
    </row>
    <row r="35" spans="2:29">
      <c r="B35" s="79"/>
      <c r="C35" s="88"/>
      <c r="D35" s="80"/>
      <c r="E35" s="66"/>
      <c r="F35" s="66"/>
      <c r="G35" s="66"/>
      <c r="H35" s="80"/>
      <c r="I35" s="80"/>
      <c r="J35" s="80"/>
      <c r="K35" s="80"/>
      <c r="L35" s="226"/>
      <c r="M35" s="80"/>
      <c r="N35" s="80"/>
      <c r="O35" s="94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95"/>
      <c r="AB35" s="103"/>
      <c r="AC35" s="102"/>
    </row>
    <row r="36" spans="2:29">
      <c r="B36" s="73"/>
      <c r="C36" s="80"/>
      <c r="D36" s="80"/>
      <c r="E36" s="80"/>
      <c r="F36" s="80"/>
      <c r="G36" s="80"/>
      <c r="H36" s="80"/>
      <c r="I36" s="80"/>
      <c r="J36" s="80"/>
      <c r="K36" s="80"/>
      <c r="L36" s="226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103"/>
      <c r="AC36" s="78"/>
    </row>
    <row r="37" spans="2:29">
      <c r="B37" s="73"/>
      <c r="C37" s="80"/>
      <c r="D37" s="80"/>
      <c r="E37" s="80"/>
      <c r="F37" s="80"/>
      <c r="G37" s="80"/>
      <c r="H37" s="80"/>
      <c r="I37" s="80"/>
      <c r="J37" s="80"/>
      <c r="K37" s="80"/>
      <c r="L37" s="226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103"/>
      <c r="AC37" s="78"/>
    </row>
    <row r="38" spans="2:29">
      <c r="B38" s="73"/>
      <c r="C38" s="82"/>
      <c r="D38" s="82"/>
      <c r="E38" s="82"/>
      <c r="F38" s="82"/>
      <c r="G38" s="82"/>
      <c r="H38" s="82"/>
      <c r="I38" s="82"/>
      <c r="J38" s="82"/>
      <c r="K38" s="82"/>
      <c r="L38" s="227"/>
      <c r="M38" s="82"/>
      <c r="N38" s="82"/>
      <c r="O38" s="82"/>
      <c r="P38" s="80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103"/>
      <c r="AC38" s="78"/>
    </row>
    <row r="39" spans="2:29">
      <c r="B39" s="97"/>
      <c r="C39" s="80"/>
      <c r="D39" s="80"/>
      <c r="E39" s="80"/>
      <c r="F39" s="80"/>
      <c r="G39" s="80"/>
      <c r="H39" s="80"/>
      <c r="I39" s="80"/>
      <c r="J39" s="80"/>
      <c r="K39" s="80"/>
      <c r="L39" s="226"/>
      <c r="M39" s="80"/>
      <c r="N39" s="80"/>
      <c r="O39" s="94"/>
      <c r="P39" s="86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95"/>
      <c r="AB39" s="103"/>
      <c r="AC39" s="102"/>
    </row>
    <row r="40" spans="2:29">
      <c r="B40" s="79"/>
      <c r="C40" s="80"/>
      <c r="D40" s="80"/>
      <c r="E40" s="80"/>
      <c r="F40" s="80"/>
      <c r="G40" s="80"/>
      <c r="H40" s="80"/>
      <c r="I40" s="80"/>
      <c r="J40" s="80"/>
      <c r="K40" s="80"/>
      <c r="L40" s="226"/>
      <c r="M40" s="80"/>
      <c r="N40" s="80"/>
      <c r="O40" s="94"/>
      <c r="P40" s="86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95"/>
      <c r="AB40" s="103"/>
      <c r="AC40" s="102"/>
    </row>
    <row r="41" spans="2:29">
      <c r="B41" s="79"/>
      <c r="C41" s="80"/>
      <c r="D41" s="80"/>
      <c r="E41" s="80"/>
      <c r="F41" s="80"/>
      <c r="G41" s="80"/>
      <c r="H41" s="80"/>
      <c r="I41" s="80"/>
      <c r="J41" s="80"/>
      <c r="K41" s="80"/>
      <c r="L41" s="226"/>
      <c r="M41" s="80"/>
      <c r="N41" s="80"/>
      <c r="O41" s="94"/>
      <c r="P41" s="86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95"/>
      <c r="AB41" s="103"/>
      <c r="AC41" s="102"/>
    </row>
    <row r="42" spans="2:29">
      <c r="B42" s="79"/>
      <c r="C42" s="80"/>
      <c r="D42" s="80"/>
      <c r="E42" s="80"/>
      <c r="F42" s="80"/>
      <c r="G42" s="80"/>
      <c r="H42" s="80"/>
      <c r="I42" s="80"/>
      <c r="J42" s="80"/>
      <c r="K42" s="80"/>
      <c r="L42" s="226"/>
      <c r="M42" s="80"/>
      <c r="N42" s="80"/>
      <c r="O42" s="94"/>
      <c r="P42" s="86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95"/>
      <c r="AB42" s="103"/>
      <c r="AC42" s="102"/>
    </row>
    <row r="43" spans="2:29">
      <c r="B43" s="79"/>
      <c r="C43" s="80"/>
      <c r="D43" s="80"/>
      <c r="E43" s="80"/>
      <c r="F43" s="80"/>
      <c r="G43" s="80"/>
      <c r="H43" s="80"/>
      <c r="I43" s="80"/>
      <c r="J43" s="80"/>
      <c r="K43" s="80"/>
      <c r="L43" s="226"/>
      <c r="M43" s="80"/>
      <c r="N43" s="80"/>
      <c r="O43" s="94"/>
      <c r="P43" s="86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95"/>
      <c r="AB43" s="103"/>
      <c r="AC43" s="102"/>
    </row>
    <row r="44" spans="2:29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226"/>
      <c r="M44" s="80"/>
      <c r="N44" s="80"/>
      <c r="O44" s="94"/>
      <c r="P44" s="86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95"/>
      <c r="AB44" s="103"/>
      <c r="AC44" s="102"/>
    </row>
    <row r="45" spans="2:29"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226"/>
      <c r="M45" s="80"/>
      <c r="N45" s="80"/>
      <c r="O45" s="94"/>
      <c r="P45" s="86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95"/>
      <c r="AB45" s="103"/>
      <c r="AC45" s="102"/>
    </row>
    <row r="46" spans="2:29"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226"/>
      <c r="M46" s="80"/>
      <c r="N46" s="80"/>
      <c r="O46" s="94"/>
      <c r="P46" s="86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95"/>
      <c r="AB46" s="103"/>
      <c r="AC46" s="102"/>
    </row>
    <row r="47" spans="2:29">
      <c r="B47" s="79"/>
      <c r="C47" s="80"/>
      <c r="D47" s="80"/>
      <c r="E47" s="80"/>
      <c r="F47" s="80"/>
      <c r="G47" s="80"/>
      <c r="H47" s="80"/>
      <c r="I47" s="80"/>
      <c r="J47" s="80"/>
      <c r="K47" s="80"/>
      <c r="L47" s="226"/>
      <c r="M47" s="80"/>
      <c r="N47" s="80"/>
      <c r="O47" s="94"/>
      <c r="P47" s="86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95"/>
      <c r="AB47" s="103"/>
      <c r="AC47" s="102"/>
    </row>
    <row r="48" spans="2:29">
      <c r="B48" s="79"/>
      <c r="C48" s="80"/>
      <c r="D48" s="80"/>
      <c r="E48" s="80"/>
      <c r="F48" s="80"/>
      <c r="G48" s="80"/>
      <c r="H48" s="80"/>
      <c r="I48" s="80"/>
      <c r="J48" s="80"/>
      <c r="K48" s="80"/>
      <c r="L48" s="226"/>
      <c r="M48" s="80"/>
      <c r="N48" s="80"/>
      <c r="O48" s="94"/>
      <c r="P48" s="86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95"/>
      <c r="AB48" s="103"/>
      <c r="AC48" s="102"/>
    </row>
    <row r="49" spans="2:29">
      <c r="B49" s="79"/>
      <c r="C49" s="80"/>
      <c r="D49" s="80"/>
      <c r="E49" s="80"/>
      <c r="F49" s="80"/>
      <c r="G49" s="80"/>
      <c r="H49" s="80"/>
      <c r="I49" s="80"/>
      <c r="J49" s="80"/>
      <c r="K49" s="80"/>
      <c r="L49" s="226"/>
      <c r="M49" s="80"/>
      <c r="N49" s="80"/>
      <c r="O49" s="94"/>
      <c r="P49" s="86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95"/>
      <c r="AB49" s="103"/>
      <c r="AC49" s="102"/>
    </row>
    <row r="50" spans="2:29">
      <c r="B50" s="79"/>
      <c r="C50" s="80"/>
      <c r="D50" s="80"/>
      <c r="E50" s="80"/>
      <c r="F50" s="80"/>
      <c r="G50" s="80"/>
      <c r="H50" s="80"/>
      <c r="I50" s="80"/>
      <c r="J50" s="80"/>
      <c r="K50" s="80"/>
      <c r="L50" s="226"/>
      <c r="M50" s="80"/>
      <c r="N50" s="80"/>
      <c r="O50" s="94"/>
      <c r="P50" s="86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95"/>
      <c r="AB50" s="103"/>
      <c r="AC50" s="102"/>
    </row>
    <row r="51" spans="2:29">
      <c r="B51" s="79"/>
      <c r="C51" s="80"/>
      <c r="D51" s="80"/>
      <c r="E51" s="80"/>
      <c r="F51" s="80"/>
      <c r="G51" s="80"/>
      <c r="H51" s="80"/>
      <c r="I51" s="80"/>
      <c r="J51" s="80"/>
      <c r="K51" s="80"/>
      <c r="L51" s="226"/>
      <c r="M51" s="80"/>
      <c r="N51" s="80"/>
      <c r="O51" s="94"/>
      <c r="P51" s="86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95"/>
      <c r="AB51" s="103"/>
      <c r="AC51" s="102"/>
    </row>
    <row r="52" spans="2:29">
      <c r="B52" s="79"/>
      <c r="C52" s="88"/>
      <c r="D52" s="88"/>
      <c r="E52" s="88"/>
      <c r="F52" s="88"/>
      <c r="G52" s="88"/>
      <c r="H52" s="88"/>
      <c r="I52" s="88"/>
      <c r="J52" s="88"/>
      <c r="K52" s="88"/>
      <c r="L52" s="226"/>
      <c r="M52" s="88"/>
      <c r="N52" s="88"/>
      <c r="O52" s="95"/>
      <c r="P52" s="86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95"/>
      <c r="AB52" s="103"/>
      <c r="AC52" s="78"/>
    </row>
    <row r="53" spans="2:29">
      <c r="B53" s="79"/>
      <c r="C53" s="80"/>
      <c r="D53" s="80"/>
      <c r="E53" s="80"/>
      <c r="F53" s="80"/>
      <c r="G53" s="80"/>
      <c r="H53" s="80"/>
      <c r="I53" s="80"/>
      <c r="J53" s="80"/>
      <c r="K53" s="80"/>
      <c r="L53" s="226"/>
      <c r="M53" s="80"/>
      <c r="N53" s="80"/>
      <c r="O53" s="94"/>
      <c r="P53" s="86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95"/>
      <c r="AB53" s="103"/>
      <c r="AC53" s="102"/>
    </row>
    <row r="54" spans="2:29">
      <c r="B54" s="79"/>
      <c r="C54" s="80"/>
      <c r="D54" s="80"/>
      <c r="E54" s="80"/>
      <c r="F54" s="80"/>
      <c r="G54" s="80"/>
      <c r="H54" s="80"/>
      <c r="I54" s="80"/>
      <c r="J54" s="80"/>
      <c r="K54" s="80"/>
      <c r="L54" s="226"/>
      <c r="M54" s="80"/>
      <c r="N54" s="80"/>
      <c r="O54" s="94"/>
      <c r="P54" s="86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95"/>
      <c r="AB54" s="103"/>
      <c r="AC54" s="102"/>
    </row>
    <row r="55" spans="2:29">
      <c r="B55" s="79"/>
      <c r="C55" s="103"/>
      <c r="D55" s="103"/>
      <c r="E55" s="103"/>
      <c r="F55" s="103"/>
      <c r="G55" s="103"/>
      <c r="H55" s="103"/>
      <c r="I55" s="103"/>
      <c r="J55" s="103"/>
      <c r="K55" s="103"/>
      <c r="L55" s="228"/>
      <c r="M55" s="103"/>
      <c r="N55" s="103"/>
      <c r="O55" s="98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99"/>
      <c r="AB55" s="103"/>
      <c r="AC55" s="78"/>
    </row>
    <row r="56" spans="2:29">
      <c r="B56" s="84"/>
      <c r="C56" s="103"/>
      <c r="D56" s="103"/>
      <c r="E56" s="103"/>
      <c r="F56" s="103"/>
      <c r="G56" s="103"/>
      <c r="H56" s="103"/>
      <c r="I56" s="103"/>
      <c r="J56" s="103"/>
      <c r="K56" s="103"/>
      <c r="L56" s="228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78"/>
    </row>
    <row r="57" spans="2:29">
      <c r="B57" s="84"/>
      <c r="C57" s="78"/>
      <c r="D57" s="78"/>
      <c r="E57" s="78"/>
      <c r="F57" s="78"/>
      <c r="G57" s="78"/>
      <c r="H57" s="78"/>
      <c r="I57" s="78"/>
      <c r="J57" s="78"/>
      <c r="K57" s="78"/>
      <c r="L57" s="229"/>
      <c r="M57" s="78"/>
      <c r="N57" s="78"/>
      <c r="O57" s="103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</row>
    <row r="58" spans="2:29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230"/>
      <c r="M58" s="85"/>
      <c r="N58" s="85"/>
      <c r="O58" s="96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</row>
    <row r="59" spans="2:29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230"/>
      <c r="M59" s="85"/>
      <c r="N59" s="85"/>
      <c r="O59" s="96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</row>
    <row r="60" spans="2:29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230"/>
      <c r="M60" s="85"/>
      <c r="N60" s="85"/>
      <c r="O60" s="96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</row>
    <row r="61" spans="2:29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230"/>
      <c r="M61" s="85"/>
      <c r="N61" s="85"/>
      <c r="O61" s="96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</row>
    <row r="62" spans="2:29"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231"/>
      <c r="M62" s="85"/>
      <c r="N62" s="85"/>
      <c r="O62" s="96"/>
      <c r="P62" s="85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4"/>
      <c r="AB62" s="84"/>
      <c r="AC62" s="85"/>
    </row>
    <row r="63" spans="2:29"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231"/>
      <c r="M63" s="85"/>
      <c r="N63" s="85"/>
      <c r="O63" s="96"/>
      <c r="P63" s="85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4"/>
      <c r="AB63" s="84"/>
      <c r="AC63" s="85"/>
    </row>
    <row r="64" spans="2:29">
      <c r="B64" s="84"/>
      <c r="O64" s="38"/>
    </row>
    <row r="65" spans="15:15">
      <c r="O65" s="38"/>
    </row>
    <row r="66" spans="15:15">
      <c r="O66" s="38"/>
    </row>
    <row r="67" spans="15:15">
      <c r="O67" s="38"/>
    </row>
    <row r="68" spans="15:15">
      <c r="O68" s="38"/>
    </row>
    <row r="69" spans="15:15">
      <c r="O69" s="38"/>
    </row>
    <row r="70" spans="15:15">
      <c r="O70" s="38"/>
    </row>
    <row r="71" spans="15:15">
      <c r="O71" s="38"/>
    </row>
    <row r="72" spans="15:15">
      <c r="O72" s="38"/>
    </row>
    <row r="73" spans="15:15">
      <c r="O73" s="38"/>
    </row>
    <row r="74" spans="15:15">
      <c r="O74" s="38"/>
    </row>
    <row r="75" spans="15:15">
      <c r="O75" s="38"/>
    </row>
    <row r="76" spans="15:15">
      <c r="O76" s="38"/>
    </row>
    <row r="77" spans="15:15">
      <c r="O77" s="38"/>
    </row>
    <row r="78" spans="15:15">
      <c r="O78" s="38"/>
    </row>
    <row r="79" spans="15:15">
      <c r="O79" s="38"/>
    </row>
    <row r="80" spans="15:15">
      <c r="O80" s="38"/>
    </row>
    <row r="81" spans="15:15">
      <c r="O81" s="38"/>
    </row>
    <row r="82" spans="15:15">
      <c r="O82" s="38"/>
    </row>
    <row r="83" spans="15:15">
      <c r="O83" s="38"/>
    </row>
    <row r="84" spans="15:15">
      <c r="O84" s="38"/>
    </row>
    <row r="85" spans="15:15">
      <c r="O85" s="38"/>
    </row>
    <row r="86" spans="15:15">
      <c r="O86" s="38"/>
    </row>
    <row r="87" spans="15:15">
      <c r="O87" s="38"/>
    </row>
    <row r="88" spans="15:15">
      <c r="O88" s="38"/>
    </row>
    <row r="89" spans="15:15">
      <c r="O89" s="38"/>
    </row>
    <row r="90" spans="15:15">
      <c r="O90" s="38"/>
    </row>
    <row r="91" spans="15:15">
      <c r="O91" s="38"/>
    </row>
    <row r="92" spans="15:15">
      <c r="O92" s="38"/>
    </row>
    <row r="93" spans="15:15">
      <c r="O93" s="38"/>
    </row>
    <row r="94" spans="15:15">
      <c r="O94" s="38"/>
    </row>
    <row r="95" spans="15:15">
      <c r="O95" s="38"/>
    </row>
    <row r="96" spans="15:15">
      <c r="O96" s="38"/>
    </row>
    <row r="97" spans="15:15">
      <c r="O97" s="38"/>
    </row>
  </sheetData>
  <phoneticPr fontId="25" type="noConversion"/>
  <pageMargins left="0.75" right="0.75" top="1" bottom="1" header="0.5" footer="0.5"/>
  <pageSetup scale="61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6"/>
  <sheetViews>
    <sheetView zoomScaleNormal="100" workbookViewId="0"/>
  </sheetViews>
  <sheetFormatPr defaultColWidth="8.85546875" defaultRowHeight="12.75"/>
  <cols>
    <col min="2" max="2" width="56.140625" customWidth="1"/>
    <col min="3" max="3" width="17.5703125" bestFit="1" customWidth="1"/>
    <col min="4" max="4" width="14.5703125" style="146" customWidth="1"/>
    <col min="5" max="5" width="8.85546875" style="3"/>
  </cols>
  <sheetData>
    <row r="1" spans="1:6" ht="18.75">
      <c r="B1" s="7" t="s">
        <v>196</v>
      </c>
      <c r="C1" s="6"/>
      <c r="D1" s="199"/>
      <c r="E1" s="18"/>
      <c r="F1" s="6"/>
    </row>
    <row r="2" spans="1:6">
      <c r="B2" s="180"/>
      <c r="C2" s="10"/>
      <c r="D2" s="199"/>
      <c r="E2" s="213"/>
      <c r="F2" s="6"/>
    </row>
    <row r="3" spans="1:6">
      <c r="B3" s="12"/>
      <c r="C3" s="15" t="s">
        <v>17</v>
      </c>
      <c r="D3" s="50" t="s">
        <v>14</v>
      </c>
      <c r="E3" s="213"/>
      <c r="F3" s="213"/>
    </row>
    <row r="4" spans="1:6" ht="20.25">
      <c r="A4" s="376">
        <v>1</v>
      </c>
      <c r="B4" s="376" t="s">
        <v>179</v>
      </c>
      <c r="C4" s="334" t="s">
        <v>149</v>
      </c>
      <c r="D4" s="50">
        <f>IF(C4="fail",0,50)</f>
        <v>50</v>
      </c>
      <c r="E4" s="213"/>
      <c r="F4" s="6"/>
    </row>
    <row r="5" spans="1:6" ht="20.25">
      <c r="A5" s="376">
        <v>2</v>
      </c>
      <c r="B5" s="376" t="s">
        <v>180</v>
      </c>
      <c r="C5" s="334" t="s">
        <v>149</v>
      </c>
      <c r="D5" s="50">
        <f t="shared" ref="D5:D16" si="0">IF(C5="fail",0,50)</f>
        <v>50</v>
      </c>
      <c r="E5" s="213"/>
      <c r="F5" s="6"/>
    </row>
    <row r="6" spans="1:6" ht="20.25">
      <c r="A6" s="376">
        <v>3</v>
      </c>
      <c r="B6" s="376" t="s">
        <v>181</v>
      </c>
      <c r="C6" s="334" t="s">
        <v>150</v>
      </c>
      <c r="D6" s="50">
        <f t="shared" si="0"/>
        <v>0</v>
      </c>
      <c r="E6" s="213"/>
      <c r="F6" s="6"/>
    </row>
    <row r="7" spans="1:6" s="177" customFormat="1" ht="20.25">
      <c r="A7" s="376">
        <v>4</v>
      </c>
      <c r="B7" s="376" t="s">
        <v>182</v>
      </c>
      <c r="C7" s="334" t="s">
        <v>149</v>
      </c>
      <c r="D7" s="50">
        <f t="shared" si="0"/>
        <v>50</v>
      </c>
      <c r="E7" s="186"/>
      <c r="F7" s="180"/>
    </row>
    <row r="8" spans="1:6" s="205" customFormat="1" ht="20.25">
      <c r="A8" s="376">
        <v>7</v>
      </c>
      <c r="B8" s="376" t="s">
        <v>183</v>
      </c>
      <c r="C8" s="334" t="s">
        <v>149</v>
      </c>
      <c r="D8" s="50">
        <f t="shared" si="0"/>
        <v>50</v>
      </c>
      <c r="E8" s="186"/>
      <c r="F8" s="204"/>
    </row>
    <row r="9" spans="1:6" ht="20.25">
      <c r="A9" s="376">
        <v>8</v>
      </c>
      <c r="B9" s="376" t="s">
        <v>184</v>
      </c>
      <c r="C9" s="334" t="s">
        <v>150</v>
      </c>
      <c r="D9" s="50">
        <f t="shared" si="0"/>
        <v>0</v>
      </c>
      <c r="E9" s="18"/>
      <c r="F9" s="6"/>
    </row>
    <row r="10" spans="1:6" ht="20.25">
      <c r="A10" s="376">
        <v>9</v>
      </c>
      <c r="B10" s="376" t="s">
        <v>185</v>
      </c>
      <c r="C10" s="334" t="s">
        <v>150</v>
      </c>
      <c r="D10" s="50">
        <f t="shared" si="0"/>
        <v>0</v>
      </c>
      <c r="E10" s="18"/>
      <c r="F10" s="6"/>
    </row>
    <row r="11" spans="1:6" ht="20.25">
      <c r="A11" s="376">
        <v>10</v>
      </c>
      <c r="B11" s="376" t="s">
        <v>186</v>
      </c>
      <c r="C11" s="334" t="s">
        <v>150</v>
      </c>
      <c r="D11" s="50">
        <f t="shared" si="0"/>
        <v>0</v>
      </c>
      <c r="E11" s="18"/>
      <c r="F11" s="6"/>
    </row>
    <row r="12" spans="1:6" ht="20.25">
      <c r="A12" s="376">
        <v>11</v>
      </c>
      <c r="B12" s="376" t="s">
        <v>187</v>
      </c>
      <c r="C12" s="334" t="s">
        <v>149</v>
      </c>
      <c r="D12" s="50">
        <f t="shared" si="0"/>
        <v>50</v>
      </c>
      <c r="E12" s="18"/>
      <c r="F12" s="6"/>
    </row>
    <row r="13" spans="1:6" s="125" customFormat="1" ht="20.25">
      <c r="A13" s="376">
        <v>14</v>
      </c>
      <c r="B13" s="376" t="s">
        <v>188</v>
      </c>
      <c r="C13" s="334" t="s">
        <v>150</v>
      </c>
      <c r="D13" s="50">
        <f t="shared" si="0"/>
        <v>0</v>
      </c>
      <c r="E13" s="126"/>
      <c r="F13" s="119"/>
    </row>
    <row r="14" spans="1:6" s="125" customFormat="1" ht="20.25">
      <c r="A14" s="376">
        <v>15</v>
      </c>
      <c r="B14" s="376" t="s">
        <v>189</v>
      </c>
      <c r="C14" s="334" t="s">
        <v>149</v>
      </c>
      <c r="D14" s="50">
        <f t="shared" si="0"/>
        <v>50</v>
      </c>
      <c r="E14" s="335"/>
      <c r="F14" s="119"/>
    </row>
    <row r="15" spans="1:6" s="125" customFormat="1" ht="20.25">
      <c r="A15" s="376">
        <v>16</v>
      </c>
      <c r="B15" s="376" t="s">
        <v>190</v>
      </c>
      <c r="C15" s="334" t="s">
        <v>150</v>
      </c>
      <c r="D15" s="50">
        <f t="shared" si="0"/>
        <v>0</v>
      </c>
      <c r="E15" s="126"/>
      <c r="F15" s="119"/>
    </row>
    <row r="16" spans="1:6" ht="20.25">
      <c r="A16" s="376">
        <v>17</v>
      </c>
      <c r="B16" s="376" t="s">
        <v>191</v>
      </c>
      <c r="C16" s="334" t="s">
        <v>150</v>
      </c>
      <c r="D16" s="50">
        <f t="shared" si="0"/>
        <v>0</v>
      </c>
    </row>
  </sheetData>
  <phoneticPr fontId="25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23"/>
  <sheetViews>
    <sheetView zoomScaleNormal="100" workbookViewId="0"/>
  </sheetViews>
  <sheetFormatPr defaultColWidth="8.85546875" defaultRowHeight="12.75"/>
  <cols>
    <col min="2" max="2" width="58.5703125" customWidth="1"/>
    <col min="3" max="3" width="10" customWidth="1"/>
    <col min="4" max="4" width="10.42578125" customWidth="1"/>
    <col min="5" max="5" width="10" customWidth="1"/>
    <col min="6" max="8" width="10.42578125" customWidth="1"/>
    <col min="9" max="9" width="13.42578125" customWidth="1"/>
    <col min="10" max="10" width="10.140625" customWidth="1"/>
    <col min="11" max="11" width="10.42578125" customWidth="1"/>
    <col min="12" max="12" width="11" customWidth="1"/>
    <col min="13" max="13" width="48" customWidth="1"/>
    <col min="14" max="15" width="10" customWidth="1"/>
  </cols>
  <sheetData>
    <row r="1" spans="1:17" ht="37.5">
      <c r="B1" s="352" t="s">
        <v>195</v>
      </c>
      <c r="C1" s="6"/>
      <c r="D1" s="418"/>
      <c r="E1" s="418"/>
      <c r="F1" s="6"/>
      <c r="G1" s="418"/>
      <c r="H1" s="418"/>
      <c r="I1" s="6"/>
      <c r="J1" s="6"/>
      <c r="K1" s="6"/>
      <c r="L1" s="6"/>
      <c r="M1" s="6"/>
      <c r="N1" s="9"/>
      <c r="O1" s="6"/>
      <c r="P1" s="6"/>
      <c r="Q1" s="6"/>
    </row>
    <row r="2" spans="1:17" ht="18">
      <c r="B2" s="456" t="s">
        <v>206</v>
      </c>
      <c r="C2" s="6"/>
      <c r="D2" s="418"/>
      <c r="E2" s="418"/>
      <c r="I2" s="9" t="s">
        <v>32</v>
      </c>
      <c r="J2" s="61">
        <f>MAX(I6:I18)</f>
        <v>58.7</v>
      </c>
      <c r="K2" s="6" t="s">
        <v>16</v>
      </c>
      <c r="L2" s="6">
        <v>2.5</v>
      </c>
      <c r="M2" s="199" t="s">
        <v>157</v>
      </c>
      <c r="N2" s="9"/>
      <c r="O2" s="6"/>
      <c r="P2" s="6"/>
      <c r="Q2" s="6"/>
    </row>
    <row r="3" spans="1:17">
      <c r="B3" s="176"/>
      <c r="C3" s="6"/>
      <c r="D3" s="418"/>
      <c r="E3" s="418"/>
      <c r="I3" s="9" t="s">
        <v>33</v>
      </c>
      <c r="J3" s="61">
        <f>MIN(I6:I18)</f>
        <v>47</v>
      </c>
      <c r="K3" s="6" t="s">
        <v>16</v>
      </c>
      <c r="L3" s="6">
        <v>50</v>
      </c>
      <c r="M3" s="199" t="s">
        <v>158</v>
      </c>
      <c r="N3" s="9"/>
      <c r="O3" s="6"/>
      <c r="P3" s="6"/>
      <c r="Q3" s="6"/>
    </row>
    <row r="4" spans="1:17">
      <c r="B4" s="16"/>
      <c r="C4" s="16"/>
      <c r="D4" s="16"/>
      <c r="E4" s="16"/>
      <c r="F4" s="16"/>
      <c r="G4" s="16"/>
      <c r="H4" s="16"/>
      <c r="I4" s="16"/>
      <c r="J4" s="6"/>
      <c r="K4" s="16"/>
      <c r="L4" s="16"/>
      <c r="M4" s="16"/>
      <c r="N4" s="24"/>
      <c r="O4" s="6"/>
      <c r="P4" s="6"/>
      <c r="Q4" s="6"/>
    </row>
    <row r="5" spans="1:17" ht="30.75" customHeight="1" thickBot="1">
      <c r="B5" s="69"/>
      <c r="C5" s="35" t="s">
        <v>142</v>
      </c>
      <c r="D5" s="35" t="s">
        <v>248</v>
      </c>
      <c r="E5" s="35" t="s">
        <v>249</v>
      </c>
      <c r="F5" s="35" t="s">
        <v>143</v>
      </c>
      <c r="G5" s="35" t="s">
        <v>248</v>
      </c>
      <c r="H5" s="35" t="s">
        <v>249</v>
      </c>
      <c r="I5" s="35" t="s">
        <v>31</v>
      </c>
      <c r="J5" s="35" t="s">
        <v>9</v>
      </c>
      <c r="K5" s="23" t="s">
        <v>27</v>
      </c>
      <c r="L5" s="23"/>
      <c r="M5" s="315"/>
      <c r="N5" s="14"/>
      <c r="O5" s="13"/>
      <c r="P5" s="5"/>
      <c r="Q5" s="6"/>
    </row>
    <row r="6" spans="1:17" ht="21" thickBot="1">
      <c r="A6" s="376">
        <v>1</v>
      </c>
      <c r="B6" s="376" t="s">
        <v>179</v>
      </c>
      <c r="C6" s="406">
        <v>48.5</v>
      </c>
      <c r="D6" s="473" t="s">
        <v>42</v>
      </c>
      <c r="E6" s="473">
        <v>5</v>
      </c>
      <c r="F6" s="472">
        <v>48</v>
      </c>
      <c r="G6" s="407">
        <v>1</v>
      </c>
      <c r="H6" s="407"/>
      <c r="I6" s="410">
        <f>MIN(SUM(C6:E6),SUM(F6:H6))</f>
        <v>49</v>
      </c>
      <c r="J6" s="52">
        <f>IF((I6=100), 2.5,(-$J$22*I6+$J$23))</f>
        <v>41.452991452991455</v>
      </c>
      <c r="K6" s="118">
        <f>RANK(J6,$J$6:$J$18)</f>
        <v>3</v>
      </c>
      <c r="L6" s="47"/>
      <c r="M6" s="427"/>
      <c r="N6" s="25"/>
      <c r="O6" s="26"/>
      <c r="P6" s="18"/>
      <c r="Q6" s="6"/>
    </row>
    <row r="7" spans="1:17" ht="21" thickBot="1">
      <c r="A7" s="376">
        <v>2</v>
      </c>
      <c r="B7" s="376" t="s">
        <v>180</v>
      </c>
      <c r="C7" s="406">
        <v>52</v>
      </c>
      <c r="D7" s="473" t="s">
        <v>42</v>
      </c>
      <c r="E7" s="473"/>
      <c r="F7" s="472">
        <v>53.4</v>
      </c>
      <c r="G7" s="407">
        <v>1</v>
      </c>
      <c r="H7" s="407"/>
      <c r="I7" s="410">
        <f t="shared" ref="I7:I18" si="0">MIN(SUM(C7:E7),SUM(F7:H7))</f>
        <v>52</v>
      </c>
      <c r="J7" s="52">
        <f t="shared" ref="J7:J18" si="1">IF((I7=100), 2.5,(-$J$22*I7+$J$23))</f>
        <v>28.632478632478637</v>
      </c>
      <c r="K7" s="118">
        <f t="shared" ref="K7:K18" si="2">RANK(J7,$J$6:$J$18)</f>
        <v>6</v>
      </c>
      <c r="L7" s="68"/>
      <c r="M7" s="427"/>
      <c r="N7" s="25"/>
      <c r="O7" s="26"/>
      <c r="P7" s="18"/>
      <c r="Q7" s="6"/>
    </row>
    <row r="8" spans="1:17" ht="21" thickBot="1">
      <c r="A8" s="376">
        <v>3</v>
      </c>
      <c r="B8" s="376" t="s">
        <v>181</v>
      </c>
      <c r="C8" s="406">
        <v>48.5</v>
      </c>
      <c r="D8" s="473"/>
      <c r="E8" s="473">
        <v>5</v>
      </c>
      <c r="F8" s="472">
        <v>50.6</v>
      </c>
      <c r="G8" s="407"/>
      <c r="H8" s="407"/>
      <c r="I8" s="410">
        <f t="shared" si="0"/>
        <v>50.6</v>
      </c>
      <c r="J8" s="52">
        <f t="shared" si="1"/>
        <v>34.615384615384613</v>
      </c>
      <c r="K8" s="118">
        <f t="shared" si="2"/>
        <v>5</v>
      </c>
      <c r="L8" s="47"/>
      <c r="M8" s="427"/>
      <c r="N8" s="25"/>
      <c r="O8" s="26"/>
      <c r="P8" s="18"/>
      <c r="Q8" s="6"/>
    </row>
    <row r="9" spans="1:17" s="177" customFormat="1" ht="21" thickBot="1">
      <c r="A9" s="376">
        <v>4</v>
      </c>
      <c r="B9" s="376" t="s">
        <v>182</v>
      </c>
      <c r="C9" s="406">
        <v>47</v>
      </c>
      <c r="D9" s="473"/>
      <c r="E9" s="473"/>
      <c r="F9" s="472">
        <v>47.6</v>
      </c>
      <c r="G9" s="407"/>
      <c r="H9" s="407"/>
      <c r="I9" s="410">
        <f t="shared" si="0"/>
        <v>47</v>
      </c>
      <c r="J9" s="52">
        <f t="shared" si="1"/>
        <v>50</v>
      </c>
      <c r="K9" s="118">
        <f t="shared" si="2"/>
        <v>1</v>
      </c>
      <c r="L9" s="187"/>
      <c r="M9" s="427"/>
      <c r="N9" s="193"/>
      <c r="O9" s="175"/>
      <c r="P9" s="186"/>
      <c r="Q9" s="180"/>
    </row>
    <row r="10" spans="1:17" s="177" customFormat="1" ht="21" thickBot="1">
      <c r="A10" s="376">
        <v>7</v>
      </c>
      <c r="B10" s="376" t="s">
        <v>183</v>
      </c>
      <c r="C10" s="406">
        <v>49.8</v>
      </c>
      <c r="D10" s="473">
        <v>1</v>
      </c>
      <c r="E10" s="473"/>
      <c r="F10" s="472">
        <v>50.13</v>
      </c>
      <c r="G10" s="407"/>
      <c r="H10" s="407"/>
      <c r="I10" s="410">
        <f t="shared" si="0"/>
        <v>50.13</v>
      </c>
      <c r="J10" s="52">
        <f t="shared" si="1"/>
        <v>36.623931623931611</v>
      </c>
      <c r="K10" s="118">
        <f t="shared" si="2"/>
        <v>4</v>
      </c>
      <c r="L10" s="187"/>
      <c r="M10" s="427"/>
      <c r="N10" s="193"/>
      <c r="O10" s="175"/>
      <c r="P10" s="186"/>
      <c r="Q10" s="180"/>
    </row>
    <row r="11" spans="1:17" ht="21" thickBot="1">
      <c r="A11" s="376">
        <v>8</v>
      </c>
      <c r="B11" s="376" t="s">
        <v>184</v>
      </c>
      <c r="C11" s="406" t="s">
        <v>148</v>
      </c>
      <c r="D11" s="473"/>
      <c r="E11" s="473"/>
      <c r="F11" s="472" t="s">
        <v>148</v>
      </c>
      <c r="G11" s="407"/>
      <c r="H11" s="407"/>
      <c r="I11" s="466" t="s">
        <v>42</v>
      </c>
      <c r="J11" s="52">
        <v>0</v>
      </c>
      <c r="K11" s="334" t="s">
        <v>42</v>
      </c>
      <c r="L11" s="47"/>
      <c r="M11" s="427"/>
      <c r="N11" s="25"/>
      <c r="O11" s="26"/>
      <c r="P11" s="18"/>
      <c r="Q11" s="6"/>
    </row>
    <row r="12" spans="1:17" ht="21" thickBot="1">
      <c r="A12" s="376">
        <v>9</v>
      </c>
      <c r="B12" s="376" t="s">
        <v>185</v>
      </c>
      <c r="C12" s="406" t="s">
        <v>148</v>
      </c>
      <c r="D12" s="473"/>
      <c r="E12" s="473"/>
      <c r="F12" s="472" t="s">
        <v>148</v>
      </c>
      <c r="G12" s="407"/>
      <c r="H12" s="407"/>
      <c r="I12" s="466" t="s">
        <v>42</v>
      </c>
      <c r="J12" s="52">
        <v>0</v>
      </c>
      <c r="K12" s="334" t="s">
        <v>42</v>
      </c>
      <c r="L12" s="47"/>
      <c r="M12" s="427"/>
      <c r="N12" s="25"/>
      <c r="O12" s="26"/>
      <c r="P12" s="18"/>
      <c r="Q12" s="6"/>
    </row>
    <row r="13" spans="1:17" ht="21" thickBot="1">
      <c r="A13" s="376">
        <v>10</v>
      </c>
      <c r="B13" s="376" t="s">
        <v>186</v>
      </c>
      <c r="C13" s="406" t="s">
        <v>148</v>
      </c>
      <c r="D13" s="473"/>
      <c r="E13" s="473"/>
      <c r="F13" s="472" t="s">
        <v>148</v>
      </c>
      <c r="G13" s="407"/>
      <c r="H13" s="407"/>
      <c r="I13" s="466" t="s">
        <v>42</v>
      </c>
      <c r="J13" s="52">
        <v>0</v>
      </c>
      <c r="K13" s="334" t="s">
        <v>42</v>
      </c>
      <c r="L13" s="47"/>
      <c r="M13" s="427"/>
      <c r="N13" s="25"/>
      <c r="O13" s="26"/>
      <c r="P13" s="18"/>
      <c r="Q13" s="6"/>
    </row>
    <row r="14" spans="1:17" ht="23.45" customHeight="1" thickBot="1">
      <c r="A14" s="376">
        <v>11</v>
      </c>
      <c r="B14" s="376" t="s">
        <v>187</v>
      </c>
      <c r="C14" s="406">
        <v>52.7</v>
      </c>
      <c r="D14" s="473">
        <v>1</v>
      </c>
      <c r="E14" s="473">
        <v>5</v>
      </c>
      <c r="F14" s="472">
        <v>58.55</v>
      </c>
      <c r="G14" s="407">
        <v>1</v>
      </c>
      <c r="H14" s="407"/>
      <c r="I14" s="410">
        <f t="shared" si="0"/>
        <v>58.7</v>
      </c>
      <c r="J14" s="52">
        <f t="shared" si="1"/>
        <v>0</v>
      </c>
      <c r="K14" s="118">
        <f t="shared" si="2"/>
        <v>9</v>
      </c>
      <c r="L14" s="47"/>
      <c r="M14" s="429"/>
      <c r="N14" s="25"/>
      <c r="O14" s="26"/>
      <c r="P14" s="18"/>
      <c r="Q14" s="6"/>
    </row>
    <row r="15" spans="1:17" ht="21" thickBot="1">
      <c r="A15" s="376">
        <v>14</v>
      </c>
      <c r="B15" s="376" t="s">
        <v>188</v>
      </c>
      <c r="C15" s="406">
        <v>52.54</v>
      </c>
      <c r="D15" s="473">
        <v>1</v>
      </c>
      <c r="E15" s="473">
        <v>5</v>
      </c>
      <c r="F15" s="472">
        <v>58</v>
      </c>
      <c r="G15" s="407">
        <v>2</v>
      </c>
      <c r="H15" s="407"/>
      <c r="I15" s="410">
        <f t="shared" si="0"/>
        <v>58.54</v>
      </c>
      <c r="J15" s="52">
        <f t="shared" si="1"/>
        <v>0.68376068376070975</v>
      </c>
      <c r="K15" s="118">
        <f t="shared" si="2"/>
        <v>8</v>
      </c>
      <c r="L15" s="47"/>
      <c r="M15" s="428"/>
      <c r="N15" s="25"/>
      <c r="O15" s="26"/>
      <c r="P15" s="18"/>
      <c r="Q15" s="6"/>
    </row>
    <row r="16" spans="1:17" ht="21" thickBot="1">
      <c r="A16" s="376">
        <v>15</v>
      </c>
      <c r="B16" s="376" t="s">
        <v>189</v>
      </c>
      <c r="C16" s="406">
        <v>47.75</v>
      </c>
      <c r="D16" s="473"/>
      <c r="E16" s="473"/>
      <c r="F16" s="472">
        <v>47.7</v>
      </c>
      <c r="G16" s="407">
        <v>1</v>
      </c>
      <c r="H16" s="407">
        <v>5</v>
      </c>
      <c r="I16" s="410">
        <f t="shared" si="0"/>
        <v>47.75</v>
      </c>
      <c r="J16" s="52">
        <f t="shared" si="1"/>
        <v>46.794871794871796</v>
      </c>
      <c r="K16" s="118">
        <f t="shared" si="2"/>
        <v>2</v>
      </c>
      <c r="L16" s="47"/>
      <c r="M16" s="428"/>
      <c r="N16" s="25"/>
      <c r="O16" s="26"/>
      <c r="P16" s="18"/>
      <c r="Q16" s="6"/>
    </row>
    <row r="17" spans="1:17" s="125" customFormat="1" ht="21" thickBot="1">
      <c r="A17" s="376">
        <v>16</v>
      </c>
      <c r="B17" s="376" t="s">
        <v>190</v>
      </c>
      <c r="C17" s="406" t="s">
        <v>148</v>
      </c>
      <c r="D17" s="473"/>
      <c r="E17" s="473"/>
      <c r="F17" s="472" t="s">
        <v>148</v>
      </c>
      <c r="G17" s="407"/>
      <c r="H17" s="407"/>
      <c r="I17" s="466" t="s">
        <v>42</v>
      </c>
      <c r="J17" s="52">
        <v>0</v>
      </c>
      <c r="K17" s="334" t="s">
        <v>42</v>
      </c>
      <c r="L17" s="129"/>
      <c r="M17" s="427"/>
      <c r="N17" s="136"/>
      <c r="O17" s="137"/>
      <c r="P17" s="126"/>
      <c r="Q17" s="119"/>
    </row>
    <row r="18" spans="1:17" ht="21" thickBot="1">
      <c r="A18" s="376">
        <v>17</v>
      </c>
      <c r="B18" s="376" t="s">
        <v>191</v>
      </c>
      <c r="C18" s="408">
        <v>52.39</v>
      </c>
      <c r="D18" s="474"/>
      <c r="E18" s="474"/>
      <c r="F18" s="466">
        <v>50.4</v>
      </c>
      <c r="G18" s="409">
        <v>3</v>
      </c>
      <c r="H18" s="409"/>
      <c r="I18" s="410">
        <f t="shared" si="0"/>
        <v>52.39</v>
      </c>
      <c r="J18" s="52">
        <f t="shared" si="1"/>
        <v>26.96581196581198</v>
      </c>
      <c r="K18" s="118">
        <f t="shared" si="2"/>
        <v>7</v>
      </c>
      <c r="L18" s="6"/>
      <c r="M18" s="427"/>
      <c r="N18" s="6"/>
      <c r="O18" s="6"/>
      <c r="P18" s="6"/>
      <c r="Q18" s="6"/>
    </row>
    <row r="19" spans="1:17">
      <c r="C19" s="122"/>
      <c r="D19" s="122"/>
      <c r="E19" s="122"/>
      <c r="J19" s="254" t="s">
        <v>42</v>
      </c>
    </row>
    <row r="21" spans="1:17">
      <c r="I21" s="254" t="s">
        <v>116</v>
      </c>
      <c r="J21" s="254"/>
    </row>
    <row r="22" spans="1:17">
      <c r="I22" s="254" t="s">
        <v>113</v>
      </c>
      <c r="J22" s="261">
        <f>50/(J2-J3)</f>
        <v>4.2735042735042725</v>
      </c>
    </row>
    <row r="23" spans="1:17">
      <c r="I23" s="254" t="s">
        <v>114</v>
      </c>
      <c r="J23" s="208">
        <f>J22*J2</f>
        <v>250.85470085470081</v>
      </c>
    </row>
  </sheetData>
  <phoneticPr fontId="25" type="noConversion"/>
  <printOptions gridLines="1"/>
  <pageMargins left="0.75" right="0.75" top="1" bottom="1" header="0.5" footer="0.5"/>
  <pageSetup scale="90" fitToWidth="2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N29"/>
  <sheetViews>
    <sheetView zoomScaleNormal="100" zoomScalePageLayoutView="12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2.75"/>
  <cols>
    <col min="2" max="2" width="54.140625" customWidth="1"/>
    <col min="3" max="3" width="12.42578125" customWidth="1"/>
    <col min="4" max="4" width="12.5703125" style="3" customWidth="1"/>
    <col min="5" max="5" width="12.42578125" style="3" customWidth="1"/>
    <col min="6" max="6" width="14" style="3" customWidth="1"/>
    <col min="7" max="7" width="10.5703125" style="3" customWidth="1"/>
    <col min="8" max="8" width="9.85546875" style="3" customWidth="1"/>
    <col min="9" max="9" width="15.5703125" style="255" customWidth="1"/>
    <col min="10" max="10" width="13.42578125" style="3" customWidth="1"/>
    <col min="11" max="11" width="5.42578125" style="146" bestFit="1" customWidth="1"/>
    <col min="12" max="12" width="26.5703125" customWidth="1"/>
  </cols>
  <sheetData>
    <row r="1" spans="1:14" ht="18.75">
      <c r="B1" s="533" t="s">
        <v>194</v>
      </c>
      <c r="C1" s="533"/>
      <c r="D1" s="18"/>
      <c r="E1" s="18"/>
      <c r="F1" s="18"/>
      <c r="G1" s="18"/>
      <c r="H1" s="18"/>
      <c r="I1" s="213"/>
      <c r="J1" s="18"/>
      <c r="K1" s="199"/>
      <c r="L1" s="6"/>
    </row>
    <row r="2" spans="1:14">
      <c r="B2" s="24"/>
      <c r="C2" s="24"/>
      <c r="D2" s="47"/>
      <c r="E2" s="47"/>
      <c r="F2" s="47"/>
      <c r="G2" s="47"/>
      <c r="H2" s="47"/>
      <c r="I2" s="212"/>
      <c r="J2" s="47"/>
      <c r="K2" s="199"/>
      <c r="L2" s="6"/>
    </row>
    <row r="3" spans="1:14" s="138" customFormat="1" ht="38.25">
      <c r="B3" s="326"/>
      <c r="C3" s="35" t="s">
        <v>37</v>
      </c>
      <c r="D3" s="35" t="s">
        <v>7</v>
      </c>
      <c r="E3" s="35" t="s">
        <v>57</v>
      </c>
      <c r="F3" s="35" t="s">
        <v>49</v>
      </c>
      <c r="G3" s="35" t="s">
        <v>77</v>
      </c>
      <c r="H3" s="35" t="s">
        <v>8</v>
      </c>
      <c r="I3" s="182" t="s">
        <v>58</v>
      </c>
      <c r="J3" s="35" t="s">
        <v>59</v>
      </c>
      <c r="K3" s="32" t="s">
        <v>56</v>
      </c>
      <c r="L3" s="35" t="s">
        <v>46</v>
      </c>
    </row>
    <row r="4" spans="1:14" s="287" customFormat="1" ht="20.25">
      <c r="A4" s="376">
        <v>1</v>
      </c>
      <c r="B4" s="376" t="s">
        <v>179</v>
      </c>
      <c r="C4" s="356"/>
      <c r="D4" s="357"/>
      <c r="E4" s="357"/>
      <c r="F4" s="356"/>
      <c r="G4" s="356"/>
      <c r="H4" s="430"/>
      <c r="I4" s="430">
        <v>100</v>
      </c>
      <c r="J4" s="356"/>
      <c r="K4" s="284">
        <f t="shared" ref="K4:K16" si="0">SUM(C4:J4)</f>
        <v>100</v>
      </c>
      <c r="L4" s="285"/>
    </row>
    <row r="5" spans="1:14" s="287" customFormat="1" ht="27">
      <c r="A5" s="376">
        <v>2</v>
      </c>
      <c r="B5" s="376" t="s">
        <v>180</v>
      </c>
      <c r="C5" s="356"/>
      <c r="D5" s="357"/>
      <c r="E5" s="357"/>
      <c r="F5" s="356"/>
      <c r="G5" s="356"/>
      <c r="H5" s="356"/>
      <c r="I5" s="356"/>
      <c r="J5" s="430">
        <v>-20</v>
      </c>
      <c r="K5" s="284">
        <f t="shared" si="0"/>
        <v>-20</v>
      </c>
      <c r="L5" s="301" t="s">
        <v>280</v>
      </c>
    </row>
    <row r="6" spans="1:14" s="287" customFormat="1" ht="20.25">
      <c r="A6" s="376">
        <v>3</v>
      </c>
      <c r="B6" s="376" t="s">
        <v>181</v>
      </c>
      <c r="C6" s="356"/>
      <c r="D6" s="357"/>
      <c r="E6" s="357"/>
      <c r="F6" s="356"/>
      <c r="G6" s="430"/>
      <c r="H6" s="430" t="s">
        <v>42</v>
      </c>
      <c r="I6" s="430"/>
      <c r="J6" s="356"/>
      <c r="K6" s="284">
        <f t="shared" si="0"/>
        <v>0</v>
      </c>
      <c r="L6" s="285" t="s">
        <v>242</v>
      </c>
    </row>
    <row r="7" spans="1:14" s="286" customFormat="1" ht="39.75">
      <c r="A7" s="376">
        <v>4</v>
      </c>
      <c r="B7" s="376" t="s">
        <v>182</v>
      </c>
      <c r="C7" s="356"/>
      <c r="D7" s="357"/>
      <c r="E7" s="357"/>
      <c r="F7" s="356"/>
      <c r="G7" s="356"/>
      <c r="H7" s="430">
        <v>-25</v>
      </c>
      <c r="I7" s="430">
        <v>100</v>
      </c>
      <c r="J7" s="356"/>
      <c r="K7" s="284">
        <f t="shared" si="0"/>
        <v>75</v>
      </c>
      <c r="L7" s="301" t="s">
        <v>212</v>
      </c>
    </row>
    <row r="8" spans="1:14" s="286" customFormat="1" ht="20.25">
      <c r="A8" s="376">
        <v>7</v>
      </c>
      <c r="B8" s="376" t="s">
        <v>183</v>
      </c>
      <c r="C8" s="356"/>
      <c r="D8" s="357"/>
      <c r="E8" s="357"/>
      <c r="F8" s="356"/>
      <c r="G8" s="356"/>
      <c r="H8" s="356"/>
      <c r="I8" s="430">
        <v>100</v>
      </c>
      <c r="J8" s="356"/>
      <c r="K8" s="284">
        <f t="shared" si="0"/>
        <v>100</v>
      </c>
      <c r="L8" s="285"/>
      <c r="N8" s="287"/>
    </row>
    <row r="9" spans="1:14" s="287" customFormat="1" ht="20.25">
      <c r="A9" s="376">
        <v>8</v>
      </c>
      <c r="B9" s="376" t="s">
        <v>184</v>
      </c>
      <c r="C9" s="356"/>
      <c r="D9" s="357"/>
      <c r="E9" s="357"/>
      <c r="F9" s="356"/>
      <c r="G9" s="430">
        <v>-50</v>
      </c>
      <c r="H9" s="356"/>
      <c r="I9" s="430"/>
      <c r="J9" s="430"/>
      <c r="K9" s="284">
        <f t="shared" si="0"/>
        <v>-50</v>
      </c>
      <c r="L9" s="285" t="s">
        <v>243</v>
      </c>
    </row>
    <row r="10" spans="1:14" s="287" customFormat="1" ht="20.25">
      <c r="A10" s="376">
        <v>9</v>
      </c>
      <c r="B10" s="376" t="s">
        <v>185</v>
      </c>
      <c r="C10" s="356"/>
      <c r="D10" s="356"/>
      <c r="E10" s="357"/>
      <c r="F10" s="356"/>
      <c r="G10" s="430">
        <v>-50</v>
      </c>
      <c r="H10" s="430" t="s">
        <v>42</v>
      </c>
      <c r="I10" s="430"/>
      <c r="J10" s="356"/>
      <c r="K10" s="284">
        <f t="shared" si="0"/>
        <v>-50</v>
      </c>
      <c r="L10" s="285" t="s">
        <v>243</v>
      </c>
    </row>
    <row r="11" spans="1:14" s="287" customFormat="1" ht="20.25">
      <c r="A11" s="376">
        <v>10</v>
      </c>
      <c r="B11" s="376" t="s">
        <v>186</v>
      </c>
      <c r="C11" s="356"/>
      <c r="D11" s="357"/>
      <c r="E11" s="357"/>
      <c r="F11" s="356"/>
      <c r="G11" s="356"/>
      <c r="H11" s="356"/>
      <c r="I11" s="430"/>
      <c r="J11" s="356"/>
      <c r="K11" s="284">
        <f t="shared" si="0"/>
        <v>0</v>
      </c>
      <c r="L11" s="285" t="s">
        <v>246</v>
      </c>
    </row>
    <row r="12" spans="1:14" s="287" customFormat="1" ht="20.25">
      <c r="A12" s="376">
        <v>11</v>
      </c>
      <c r="B12" s="376" t="s">
        <v>187</v>
      </c>
      <c r="C12" s="356"/>
      <c r="D12" s="357"/>
      <c r="E12" s="357"/>
      <c r="F12" s="356"/>
      <c r="G12" s="356"/>
      <c r="H12" s="356"/>
      <c r="I12" s="430"/>
      <c r="J12" s="356"/>
      <c r="K12" s="284">
        <f t="shared" si="0"/>
        <v>0</v>
      </c>
      <c r="L12" s="285" t="s">
        <v>241</v>
      </c>
    </row>
    <row r="13" spans="1:14" s="287" customFormat="1" ht="20.25">
      <c r="A13" s="376">
        <v>14</v>
      </c>
      <c r="B13" s="376" t="s">
        <v>188</v>
      </c>
      <c r="C13" s="356"/>
      <c r="D13" s="357"/>
      <c r="E13" s="357"/>
      <c r="F13" s="356"/>
      <c r="G13" s="356"/>
      <c r="H13" s="356"/>
      <c r="I13" s="430">
        <v>100</v>
      </c>
      <c r="J13" s="356"/>
      <c r="K13" s="284">
        <f t="shared" si="0"/>
        <v>100</v>
      </c>
      <c r="L13" s="285"/>
    </row>
    <row r="14" spans="1:14" s="287" customFormat="1" ht="20.25">
      <c r="A14" s="376">
        <v>15</v>
      </c>
      <c r="B14" s="376" t="s">
        <v>189</v>
      </c>
      <c r="C14" s="356"/>
      <c r="D14" s="356"/>
      <c r="E14" s="357"/>
      <c r="F14" s="356"/>
      <c r="G14" s="430"/>
      <c r="H14" s="430" t="s">
        <v>42</v>
      </c>
      <c r="I14" s="430">
        <v>100</v>
      </c>
      <c r="J14" s="356"/>
      <c r="K14" s="284">
        <f t="shared" si="0"/>
        <v>100</v>
      </c>
      <c r="L14" s="301"/>
    </row>
    <row r="15" spans="1:14" s="288" customFormat="1" ht="20.25">
      <c r="A15" s="376">
        <v>16</v>
      </c>
      <c r="B15" s="376" t="s">
        <v>190</v>
      </c>
      <c r="C15" s="356"/>
      <c r="D15" s="356"/>
      <c r="E15" s="356"/>
      <c r="F15" s="356"/>
      <c r="G15" s="356"/>
      <c r="H15" s="356"/>
      <c r="I15" s="430"/>
      <c r="J15" s="356"/>
      <c r="K15" s="284">
        <f t="shared" si="0"/>
        <v>0</v>
      </c>
      <c r="L15" s="285" t="s">
        <v>245</v>
      </c>
    </row>
    <row r="16" spans="1:14" s="287" customFormat="1" ht="20.25">
      <c r="A16" s="376">
        <v>17</v>
      </c>
      <c r="B16" s="376" t="s">
        <v>191</v>
      </c>
      <c r="C16" s="356"/>
      <c r="D16" s="358"/>
      <c r="E16" s="357"/>
      <c r="F16" s="356"/>
      <c r="G16" s="430">
        <v>-30</v>
      </c>
      <c r="H16" s="356"/>
      <c r="I16" s="430">
        <v>100</v>
      </c>
      <c r="J16" s="356"/>
      <c r="K16" s="284">
        <f t="shared" si="0"/>
        <v>70</v>
      </c>
      <c r="L16" s="289" t="s">
        <v>244</v>
      </c>
    </row>
    <row r="17" spans="2:12" ht="15">
      <c r="B17" s="22"/>
      <c r="C17" s="22"/>
      <c r="D17" s="234"/>
      <c r="E17" s="234"/>
      <c r="F17" s="234"/>
      <c r="G17" s="36"/>
      <c r="H17" s="47"/>
      <c r="I17" s="212"/>
      <c r="J17" s="325"/>
      <c r="K17" s="199"/>
      <c r="L17" s="6"/>
    </row>
    <row r="18" spans="2:12" ht="15">
      <c r="B18" s="22"/>
      <c r="C18" s="22"/>
      <c r="D18" s="234"/>
      <c r="E18" s="234" t="s">
        <v>170</v>
      </c>
      <c r="F18" s="534" t="s">
        <v>171</v>
      </c>
      <c r="G18" s="534"/>
      <c r="H18" s="399">
        <v>-20</v>
      </c>
      <c r="I18" s="212"/>
      <c r="J18" s="325"/>
      <c r="K18" s="199"/>
      <c r="L18" s="6"/>
    </row>
    <row r="19" spans="2:12" ht="15">
      <c r="B19" s="22"/>
      <c r="C19" s="22"/>
      <c r="D19" s="234"/>
      <c r="E19" s="234" t="s">
        <v>60</v>
      </c>
      <c r="F19" s="534" t="s">
        <v>172</v>
      </c>
      <c r="G19" s="534"/>
      <c r="H19" s="239">
        <v>20</v>
      </c>
      <c r="I19" s="212"/>
      <c r="J19" s="325"/>
      <c r="K19" s="199"/>
      <c r="L19" s="6"/>
    </row>
    <row r="20" spans="2:12" ht="15">
      <c r="B20" s="22"/>
      <c r="C20" s="22"/>
      <c r="D20" s="234"/>
      <c r="E20" s="487"/>
      <c r="F20" s="397"/>
      <c r="G20" s="398"/>
      <c r="H20" s="47"/>
      <c r="I20" s="212"/>
      <c r="J20" s="325"/>
      <c r="K20" s="199"/>
      <c r="L20" s="6"/>
    </row>
    <row r="21" spans="2:12" ht="15">
      <c r="B21" s="22"/>
      <c r="C21" s="22"/>
      <c r="D21" s="234"/>
      <c r="E21" s="234"/>
      <c r="F21" s="234"/>
      <c r="G21" s="36"/>
      <c r="H21" s="47"/>
      <c r="I21" s="212"/>
      <c r="J21" s="325"/>
      <c r="K21" s="199"/>
      <c r="L21" s="6"/>
    </row>
    <row r="22" spans="2:12" ht="15">
      <c r="B22" s="22"/>
      <c r="C22" s="22"/>
      <c r="D22" s="234"/>
      <c r="E22" s="234"/>
      <c r="F22" s="234"/>
      <c r="G22" s="36"/>
      <c r="H22" s="47"/>
      <c r="I22" s="212"/>
      <c r="J22" s="325"/>
      <c r="K22" s="199"/>
      <c r="L22" s="6"/>
    </row>
    <row r="23" spans="2:12" ht="15">
      <c r="B23" s="22"/>
      <c r="C23" s="22"/>
      <c r="D23" s="234"/>
      <c r="E23" s="234"/>
      <c r="F23" s="234"/>
      <c r="G23" s="36"/>
      <c r="H23" s="47"/>
      <c r="I23" s="212"/>
      <c r="J23" s="325"/>
      <c r="K23" s="199"/>
      <c r="L23" s="6"/>
    </row>
    <row r="24" spans="2:12">
      <c r="B24" s="22"/>
      <c r="C24" s="22"/>
      <c r="D24" s="234"/>
      <c r="E24" s="234"/>
      <c r="F24" s="234"/>
      <c r="G24" s="36"/>
      <c r="H24" s="47"/>
      <c r="I24" s="212"/>
      <c r="J24" s="47"/>
      <c r="K24" s="199"/>
      <c r="L24" s="6"/>
    </row>
    <row r="25" spans="2:12" ht="15">
      <c r="B25" s="22"/>
      <c r="C25" s="22"/>
      <c r="D25" s="234"/>
      <c r="E25" s="234"/>
      <c r="F25" s="234"/>
      <c r="G25" s="36"/>
      <c r="H25" s="47"/>
      <c r="I25" s="212"/>
      <c r="J25" s="325"/>
      <c r="K25" s="199"/>
      <c r="L25" s="6"/>
    </row>
    <row r="26" spans="2:12">
      <c r="B26" s="22"/>
      <c r="C26" s="22"/>
      <c r="D26" s="235"/>
      <c r="E26" s="235"/>
      <c r="F26" s="235"/>
      <c r="G26" s="36"/>
      <c r="H26" s="47"/>
      <c r="I26" s="212"/>
      <c r="J26" s="55"/>
    </row>
    <row r="27" spans="2:12">
      <c r="B27" s="1"/>
      <c r="C27" s="1"/>
      <c r="D27" s="55"/>
      <c r="E27" s="55"/>
      <c r="F27" s="55"/>
      <c r="G27" s="47"/>
      <c r="H27" s="55"/>
      <c r="I27" s="277"/>
      <c r="J27" s="55"/>
    </row>
    <row r="28" spans="2:12">
      <c r="B28" s="1"/>
      <c r="C28" s="1"/>
      <c r="D28" s="55"/>
      <c r="E28" s="55"/>
      <c r="F28" s="55"/>
      <c r="G28" s="55"/>
      <c r="H28" s="55"/>
      <c r="I28" s="277"/>
      <c r="J28" s="55"/>
    </row>
    <row r="29" spans="2:12">
      <c r="B29" s="1"/>
      <c r="C29" s="1"/>
      <c r="D29" s="55"/>
      <c r="E29" s="55"/>
      <c r="F29" s="55"/>
      <c r="G29" s="55"/>
      <c r="H29" s="55"/>
      <c r="I29" s="277"/>
      <c r="J29" s="55"/>
    </row>
  </sheetData>
  <mergeCells count="3">
    <mergeCell ref="B1:C1"/>
    <mergeCell ref="F18:G18"/>
    <mergeCell ref="F19:G19"/>
  </mergeCells>
  <phoneticPr fontId="25" type="noConversion"/>
  <printOptions gridLines="1"/>
  <pageMargins left="0.75" right="0.75" top="1" bottom="1" header="0.5" footer="0.5"/>
  <pageSetup scale="63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7"/>
  <sheetViews>
    <sheetView zoomScaleNormal="100" workbookViewId="0"/>
  </sheetViews>
  <sheetFormatPr defaultColWidth="8.85546875" defaultRowHeight="12.75"/>
  <cols>
    <col min="2" max="2" width="54.5703125" customWidth="1"/>
    <col min="3" max="6" width="10.42578125" customWidth="1"/>
    <col min="8" max="8" width="10.42578125" customWidth="1"/>
    <col min="10" max="10" width="10.140625" customWidth="1"/>
  </cols>
  <sheetData>
    <row r="1" spans="1:22" ht="18.75">
      <c r="B1" s="41" t="s">
        <v>193</v>
      </c>
      <c r="C1" s="29"/>
      <c r="D1" s="29"/>
      <c r="E1" s="29"/>
      <c r="F1" s="29" t="s">
        <v>54</v>
      </c>
      <c r="G1" s="30">
        <f>MAX(F4:F16)</f>
        <v>801</v>
      </c>
      <c r="H1" s="29" t="s">
        <v>55</v>
      </c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2">
      <c r="B2" s="177" t="s">
        <v>101</v>
      </c>
      <c r="C2" s="29"/>
      <c r="D2" s="29"/>
      <c r="E2" s="29"/>
      <c r="F2" s="29" t="s">
        <v>53</v>
      </c>
      <c r="G2" s="30">
        <f>MIN(F4:F115)</f>
        <v>549</v>
      </c>
      <c r="H2" s="29" t="s">
        <v>55</v>
      </c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</row>
    <row r="3" spans="1:22">
      <c r="C3" s="114" t="s">
        <v>50</v>
      </c>
      <c r="D3" s="114" t="s">
        <v>51</v>
      </c>
      <c r="E3" s="114" t="s">
        <v>52</v>
      </c>
      <c r="F3" s="40" t="s">
        <v>24</v>
      </c>
      <c r="H3" s="35"/>
      <c r="I3" s="2" t="s">
        <v>27</v>
      </c>
    </row>
    <row r="4" spans="1:22" ht="20.25">
      <c r="A4" s="376">
        <v>1</v>
      </c>
      <c r="B4" s="376" t="s">
        <v>179</v>
      </c>
      <c r="C4" s="365">
        <v>176</v>
      </c>
      <c r="D4" s="366">
        <v>163</v>
      </c>
      <c r="E4" s="366">
        <v>272</v>
      </c>
      <c r="F4" s="369">
        <f>+C4+D4+E4</f>
        <v>611</v>
      </c>
      <c r="G4" s="128"/>
      <c r="H4" s="17"/>
      <c r="I4" s="17">
        <f t="shared" ref="I4:I16" si="0">RANK($F4,$F$4:$F$16)</f>
        <v>6</v>
      </c>
    </row>
    <row r="5" spans="1:22" ht="20.25">
      <c r="A5" s="376">
        <v>2</v>
      </c>
      <c r="B5" s="376" t="s">
        <v>180</v>
      </c>
      <c r="C5" s="367">
        <v>145</v>
      </c>
      <c r="D5" s="368">
        <v>143</v>
      </c>
      <c r="E5" s="368">
        <v>289</v>
      </c>
      <c r="F5" s="369">
        <f t="shared" ref="F5:F16" si="1">+C5+D5+E5</f>
        <v>577</v>
      </c>
      <c r="G5" s="353"/>
      <c r="H5" s="17"/>
      <c r="I5" s="17">
        <f t="shared" si="0"/>
        <v>11</v>
      </c>
      <c r="J5" s="300"/>
    </row>
    <row r="6" spans="1:22" ht="20.25">
      <c r="A6" s="376">
        <v>3</v>
      </c>
      <c r="B6" s="376" t="s">
        <v>181</v>
      </c>
      <c r="C6" s="367">
        <v>188</v>
      </c>
      <c r="D6" s="368">
        <v>184</v>
      </c>
      <c r="E6" s="368">
        <v>287</v>
      </c>
      <c r="F6" s="369">
        <f t="shared" si="1"/>
        <v>659</v>
      </c>
      <c r="G6" s="128"/>
      <c r="H6" s="17"/>
      <c r="I6" s="17">
        <f t="shared" si="0"/>
        <v>3</v>
      </c>
    </row>
    <row r="7" spans="1:22" s="185" customFormat="1" ht="20.25">
      <c r="A7" s="376">
        <v>4</v>
      </c>
      <c r="B7" s="376" t="s">
        <v>182</v>
      </c>
      <c r="C7" s="367">
        <v>187</v>
      </c>
      <c r="D7" s="368">
        <v>160</v>
      </c>
      <c r="E7" s="368">
        <v>272</v>
      </c>
      <c r="F7" s="369">
        <f t="shared" si="1"/>
        <v>619</v>
      </c>
      <c r="G7" s="370"/>
      <c r="H7" s="181"/>
      <c r="I7" s="420">
        <f t="shared" si="0"/>
        <v>5</v>
      </c>
      <c r="J7" s="300"/>
    </row>
    <row r="8" spans="1:22" s="185" customFormat="1" ht="20.25">
      <c r="A8" s="376">
        <v>7</v>
      </c>
      <c r="B8" s="376" t="s">
        <v>183</v>
      </c>
      <c r="C8" s="367">
        <v>166</v>
      </c>
      <c r="D8" s="368">
        <v>163</v>
      </c>
      <c r="E8" s="368">
        <v>472</v>
      </c>
      <c r="F8" s="369">
        <f t="shared" si="1"/>
        <v>801</v>
      </c>
      <c r="G8" s="177"/>
      <c r="H8" s="181"/>
      <c r="I8" s="17">
        <f t="shared" si="0"/>
        <v>1</v>
      </c>
    </row>
    <row r="9" spans="1:22" s="29" customFormat="1" ht="20.25">
      <c r="A9" s="376">
        <v>8</v>
      </c>
      <c r="B9" s="376" t="s">
        <v>184</v>
      </c>
      <c r="C9" s="367">
        <v>181</v>
      </c>
      <c r="D9" s="368">
        <v>172</v>
      </c>
      <c r="E9" s="368">
        <v>298</v>
      </c>
      <c r="F9" s="369">
        <f t="shared" si="1"/>
        <v>651</v>
      </c>
      <c r="G9" s="159"/>
      <c r="H9" s="17"/>
      <c r="I9" s="17">
        <f t="shared" si="0"/>
        <v>4</v>
      </c>
    </row>
    <row r="10" spans="1:22" ht="20.25">
      <c r="A10" s="376">
        <v>9</v>
      </c>
      <c r="B10" s="376" t="s">
        <v>185</v>
      </c>
      <c r="C10" s="367">
        <v>177</v>
      </c>
      <c r="D10" s="368">
        <v>158</v>
      </c>
      <c r="E10" s="368">
        <v>259</v>
      </c>
      <c r="F10" s="369">
        <f t="shared" si="1"/>
        <v>594</v>
      </c>
      <c r="G10" s="128"/>
      <c r="H10" s="17"/>
      <c r="I10" s="17">
        <f t="shared" si="0"/>
        <v>8</v>
      </c>
    </row>
    <row r="11" spans="1:22" ht="20.25">
      <c r="A11" s="376">
        <v>10</v>
      </c>
      <c r="B11" s="376" t="s">
        <v>186</v>
      </c>
      <c r="C11" s="367">
        <v>148</v>
      </c>
      <c r="D11" s="368">
        <v>148</v>
      </c>
      <c r="E11" s="368">
        <v>313</v>
      </c>
      <c r="F11" s="369">
        <f t="shared" si="1"/>
        <v>609</v>
      </c>
      <c r="G11" s="128"/>
      <c r="H11" s="17"/>
      <c r="I11" s="17">
        <f t="shared" si="0"/>
        <v>7</v>
      </c>
    </row>
    <row r="12" spans="1:22" ht="20.25">
      <c r="A12" s="376">
        <v>11</v>
      </c>
      <c r="B12" s="376" t="s">
        <v>187</v>
      </c>
      <c r="C12" s="367">
        <v>225</v>
      </c>
      <c r="D12" s="368">
        <v>215</v>
      </c>
      <c r="E12" s="368">
        <v>324</v>
      </c>
      <c r="F12" s="369">
        <f t="shared" si="1"/>
        <v>764</v>
      </c>
      <c r="G12" s="370"/>
      <c r="H12" s="17"/>
      <c r="I12" s="17">
        <f t="shared" si="0"/>
        <v>2</v>
      </c>
    </row>
    <row r="13" spans="1:22" ht="20.25">
      <c r="A13" s="376">
        <v>14</v>
      </c>
      <c r="B13" s="376" t="s">
        <v>188</v>
      </c>
      <c r="C13" s="367">
        <v>152</v>
      </c>
      <c r="D13" s="368">
        <v>133</v>
      </c>
      <c r="E13" s="368">
        <v>309</v>
      </c>
      <c r="F13" s="369">
        <f t="shared" si="1"/>
        <v>594</v>
      </c>
      <c r="G13" s="370"/>
      <c r="H13" s="17"/>
      <c r="I13" s="17">
        <f t="shared" si="0"/>
        <v>8</v>
      </c>
    </row>
    <row r="14" spans="1:22" ht="20.25">
      <c r="A14" s="376">
        <v>15</v>
      </c>
      <c r="B14" s="376" t="s">
        <v>189</v>
      </c>
      <c r="C14" s="367">
        <v>150</v>
      </c>
      <c r="D14" s="368">
        <v>125</v>
      </c>
      <c r="E14" s="368">
        <v>290</v>
      </c>
      <c r="F14" s="369">
        <f t="shared" si="1"/>
        <v>565</v>
      </c>
      <c r="G14" s="128"/>
      <c r="H14" s="17"/>
      <c r="I14" s="17">
        <f t="shared" si="0"/>
        <v>12</v>
      </c>
    </row>
    <row r="15" spans="1:22" ht="20.25">
      <c r="A15" s="376">
        <v>16</v>
      </c>
      <c r="B15" s="376" t="s">
        <v>190</v>
      </c>
      <c r="C15" s="367">
        <v>148</v>
      </c>
      <c r="D15" s="368">
        <v>142</v>
      </c>
      <c r="E15" s="368">
        <v>298</v>
      </c>
      <c r="F15" s="369">
        <f t="shared" si="1"/>
        <v>588</v>
      </c>
      <c r="G15" s="128"/>
      <c r="H15" s="17"/>
      <c r="I15" s="17">
        <f t="shared" si="0"/>
        <v>10</v>
      </c>
    </row>
    <row r="16" spans="1:22" ht="20.25">
      <c r="A16" s="376">
        <v>17</v>
      </c>
      <c r="B16" s="376" t="s">
        <v>191</v>
      </c>
      <c r="C16" s="367">
        <v>127</v>
      </c>
      <c r="D16" s="368">
        <v>122</v>
      </c>
      <c r="E16" s="368">
        <v>300</v>
      </c>
      <c r="F16" s="369">
        <f t="shared" si="1"/>
        <v>549</v>
      </c>
      <c r="G16" s="128"/>
      <c r="H16" s="17"/>
      <c r="I16" s="17">
        <f t="shared" si="0"/>
        <v>13</v>
      </c>
    </row>
    <row r="17" spans="6:6">
      <c r="F17" s="56"/>
    </row>
    <row r="18" spans="6:6">
      <c r="F18" s="56"/>
    </row>
    <row r="19" spans="6:6">
      <c r="F19" s="56"/>
    </row>
    <row r="20" spans="6:6">
      <c r="F20" s="56"/>
    </row>
    <row r="21" spans="6:6">
      <c r="F21" s="56"/>
    </row>
    <row r="22" spans="6:6">
      <c r="F22" s="56"/>
    </row>
    <row r="23" spans="6:6">
      <c r="F23" s="56"/>
    </row>
    <row r="24" spans="6:6">
      <c r="F24" s="56"/>
    </row>
    <row r="25" spans="6:6">
      <c r="F25" s="56"/>
    </row>
    <row r="26" spans="6:6">
      <c r="F26" s="56"/>
    </row>
    <row r="27" spans="6:6">
      <c r="F27" s="56"/>
    </row>
  </sheetData>
  <phoneticPr fontId="25" type="noConversion"/>
  <printOptions gridLines="1"/>
  <pageMargins left="0.75" right="0.75" top="1" bottom="1" header="0.5" footer="0.5"/>
  <pageSetup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61"/>
  <sheetViews>
    <sheetView zoomScaleNormal="100" zoomScalePageLayoutView="85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10.5703125" defaultRowHeight="12.75"/>
  <cols>
    <col min="1" max="1" width="12.42578125" style="142" bestFit="1" customWidth="1"/>
    <col min="2" max="2" width="16.42578125" style="59" customWidth="1"/>
    <col min="3" max="5" width="10.5703125" style="142" customWidth="1"/>
    <col min="6" max="6" width="10.5703125" style="211" customWidth="1"/>
    <col min="7" max="7" width="10.5703125" style="143" customWidth="1"/>
    <col min="8" max="8" width="10.5703125" style="184" customWidth="1"/>
    <col min="9" max="10" width="10.5703125" style="142" customWidth="1"/>
    <col min="11" max="11" width="10.5703125" style="160" customWidth="1"/>
    <col min="12" max="12" width="10.5703125" style="142" customWidth="1"/>
    <col min="13" max="14" width="10.5703125" style="157" customWidth="1"/>
    <col min="15" max="15" width="10.5703125" style="323" customWidth="1"/>
    <col min="16" max="16" width="10.5703125" style="142"/>
    <col min="17" max="17" width="10.5703125" style="156"/>
    <col min="18" max="16384" width="10.5703125" style="59"/>
  </cols>
  <sheetData>
    <row r="1" spans="1:19" s="317" customFormat="1" ht="18.75">
      <c r="A1" s="267" t="s">
        <v>192</v>
      </c>
      <c r="C1" s="142"/>
      <c r="D1" s="142"/>
      <c r="E1" s="142"/>
      <c r="F1" s="211"/>
      <c r="G1" s="143"/>
      <c r="H1" s="184"/>
      <c r="I1" s="142"/>
      <c r="J1" s="142"/>
      <c r="K1" s="160"/>
      <c r="L1" s="142"/>
      <c r="M1" s="157"/>
      <c r="N1" s="157"/>
      <c r="O1" s="323"/>
      <c r="P1" s="142"/>
    </row>
    <row r="2" spans="1:19" s="317" customFormat="1" ht="18.75">
      <c r="A2" s="267"/>
      <c r="C2" s="142"/>
      <c r="D2" s="142"/>
      <c r="E2" s="142"/>
      <c r="F2" s="211"/>
      <c r="G2" s="143"/>
      <c r="H2" s="184"/>
      <c r="I2" s="142"/>
      <c r="J2" s="142"/>
      <c r="K2" s="160"/>
      <c r="L2" s="142"/>
      <c r="M2" s="157"/>
      <c r="N2" s="157"/>
      <c r="O2" s="323"/>
      <c r="P2" s="142"/>
    </row>
    <row r="3" spans="1:19" ht="25.5">
      <c r="A3" s="318" t="s">
        <v>145</v>
      </c>
      <c r="B3" s="318"/>
      <c r="C3" s="138">
        <v>1</v>
      </c>
      <c r="D3" s="138">
        <v>2</v>
      </c>
      <c r="E3" s="138">
        <v>3</v>
      </c>
      <c r="F3" s="138">
        <v>4</v>
      </c>
      <c r="G3" s="138">
        <v>7</v>
      </c>
      <c r="H3" s="138">
        <v>8</v>
      </c>
      <c r="I3" s="138">
        <v>9</v>
      </c>
      <c r="J3" s="138">
        <v>10</v>
      </c>
      <c r="K3" s="138">
        <v>11</v>
      </c>
      <c r="L3" s="138">
        <v>14</v>
      </c>
      <c r="M3" s="138">
        <v>15</v>
      </c>
      <c r="N3" s="138">
        <v>16</v>
      </c>
      <c r="O3" s="138">
        <v>17</v>
      </c>
      <c r="P3" s="255"/>
      <c r="Q3" s="195"/>
      <c r="R3" s="146"/>
      <c r="S3" s="146"/>
    </row>
    <row r="4" spans="1:19" ht="76.5">
      <c r="A4" s="445"/>
      <c r="B4" s="318"/>
      <c r="C4" s="446" t="s">
        <v>179</v>
      </c>
      <c r="D4" s="447" t="s">
        <v>180</v>
      </c>
      <c r="E4" s="447" t="s">
        <v>181</v>
      </c>
      <c r="F4" s="447" t="s">
        <v>182</v>
      </c>
      <c r="G4" s="447" t="s">
        <v>183</v>
      </c>
      <c r="H4" s="447" t="s">
        <v>184</v>
      </c>
      <c r="I4" s="447" t="s">
        <v>185</v>
      </c>
      <c r="J4" s="447" t="s">
        <v>186</v>
      </c>
      <c r="K4" s="447" t="s">
        <v>187</v>
      </c>
      <c r="L4" s="447" t="s">
        <v>188</v>
      </c>
      <c r="M4" s="447" t="s">
        <v>189</v>
      </c>
      <c r="N4" s="447" t="s">
        <v>190</v>
      </c>
      <c r="O4" s="447" t="s">
        <v>191</v>
      </c>
      <c r="P4" s="255"/>
      <c r="Q4" s="195"/>
      <c r="R4" s="254"/>
      <c r="S4" s="254"/>
    </row>
    <row r="5" spans="1:19" s="273" customFormat="1">
      <c r="A5" s="316">
        <v>1</v>
      </c>
      <c r="B5" s="359"/>
      <c r="C5" s="360"/>
      <c r="D5" s="360"/>
      <c r="E5" s="360"/>
      <c r="F5" s="360"/>
      <c r="G5" s="360">
        <f>8+20+12+10+8+8+8+5</f>
        <v>79</v>
      </c>
      <c r="H5" s="360"/>
      <c r="I5" s="360"/>
      <c r="J5" s="360"/>
      <c r="K5" s="360">
        <f>8+15+10+7+5+8+6+4</f>
        <v>63</v>
      </c>
      <c r="L5" s="360">
        <f>6+12+12+10+6+6+7+4</f>
        <v>63</v>
      </c>
      <c r="M5" s="360">
        <f>9+20+8+12+6+8+8+5</f>
        <v>76</v>
      </c>
      <c r="N5" s="360"/>
      <c r="O5" s="361"/>
      <c r="P5" s="316">
        <f t="shared" ref="P5:P55" si="0">COUNTA(C5:O5)</f>
        <v>4</v>
      </c>
      <c r="Q5" s="272"/>
    </row>
    <row r="6" spans="1:19">
      <c r="A6" s="316">
        <f>A5+1</f>
        <v>2</v>
      </c>
      <c r="B6" s="468"/>
      <c r="C6" s="362"/>
      <c r="D6" s="362"/>
      <c r="E6" s="362"/>
      <c r="F6" s="362"/>
      <c r="G6" s="362"/>
      <c r="H6" s="362"/>
      <c r="I6" s="362"/>
      <c r="J6" s="362"/>
      <c r="K6" s="362"/>
      <c r="L6" s="362"/>
      <c r="M6" s="362">
        <f>8+22+14+14+8+10+9+5</f>
        <v>90</v>
      </c>
      <c r="N6" s="362">
        <f>8+10+13+13+8+9+10+5</f>
        <v>76</v>
      </c>
      <c r="O6" s="363">
        <f>8+12+11+14+6+5+9+5</f>
        <v>70</v>
      </c>
      <c r="P6" s="316">
        <f t="shared" si="0"/>
        <v>3</v>
      </c>
      <c r="Q6" s="195"/>
      <c r="R6" s="146"/>
      <c r="S6" s="146"/>
    </row>
    <row r="7" spans="1:19">
      <c r="A7" s="316">
        <f t="shared" ref="A7:A55" si="1">A6+1</f>
        <v>3</v>
      </c>
      <c r="B7" s="274"/>
      <c r="C7" s="362">
        <v>64</v>
      </c>
      <c r="D7" s="362">
        <v>84</v>
      </c>
      <c r="E7" s="362">
        <v>82</v>
      </c>
      <c r="F7" s="362">
        <v>81</v>
      </c>
      <c r="G7" s="362">
        <v>70</v>
      </c>
      <c r="H7" s="362">
        <v>58</v>
      </c>
      <c r="I7" s="362">
        <v>81</v>
      </c>
      <c r="J7" s="362">
        <v>77</v>
      </c>
      <c r="K7" s="362">
        <v>70</v>
      </c>
      <c r="L7" s="362">
        <v>53</v>
      </c>
      <c r="M7" s="362">
        <v>75</v>
      </c>
      <c r="N7" s="362">
        <v>69</v>
      </c>
      <c r="O7" s="363">
        <v>63</v>
      </c>
      <c r="P7" s="316">
        <f t="shared" si="0"/>
        <v>13</v>
      </c>
    </row>
    <row r="8" spans="1:19">
      <c r="A8" s="316">
        <f t="shared" si="1"/>
        <v>4</v>
      </c>
      <c r="B8" s="274"/>
      <c r="C8" s="362"/>
      <c r="D8" s="362"/>
      <c r="E8" s="362"/>
      <c r="F8" s="362"/>
      <c r="G8" s="362"/>
      <c r="H8" s="362"/>
      <c r="I8" s="362"/>
      <c r="J8" s="362"/>
      <c r="K8" s="362">
        <f>6+20+10+9+4+5+8+4</f>
        <v>66</v>
      </c>
      <c r="L8" s="362">
        <f>6+18+12+12+9+10+9+4</f>
        <v>80</v>
      </c>
      <c r="M8" s="362">
        <f>8+20+12+12+8+8+8+4</f>
        <v>80</v>
      </c>
      <c r="N8" s="362">
        <f>9+20+13+13+10+10+10+5</f>
        <v>90</v>
      </c>
      <c r="O8" s="363"/>
      <c r="P8" s="316">
        <f t="shared" si="0"/>
        <v>4</v>
      </c>
      <c r="Q8" s="255"/>
      <c r="R8" s="254"/>
      <c r="S8" s="254"/>
    </row>
    <row r="9" spans="1:19">
      <c r="A9" s="316">
        <f t="shared" si="1"/>
        <v>5</v>
      </c>
      <c r="B9" s="274"/>
      <c r="C9" s="362">
        <v>41</v>
      </c>
      <c r="D9" s="362">
        <v>79</v>
      </c>
      <c r="E9" s="362">
        <v>79</v>
      </c>
      <c r="F9" s="362">
        <v>93</v>
      </c>
      <c r="G9" s="362">
        <v>65</v>
      </c>
      <c r="H9" s="362">
        <v>31</v>
      </c>
      <c r="I9" s="362">
        <v>33</v>
      </c>
      <c r="J9" s="362">
        <v>36</v>
      </c>
      <c r="K9" s="362">
        <v>20</v>
      </c>
      <c r="L9" s="362">
        <v>69</v>
      </c>
      <c r="M9" s="362">
        <v>73</v>
      </c>
      <c r="N9" s="362">
        <v>62</v>
      </c>
      <c r="O9" s="363">
        <v>54</v>
      </c>
      <c r="P9" s="316">
        <f t="shared" si="0"/>
        <v>13</v>
      </c>
      <c r="Q9" s="195"/>
      <c r="R9" s="146"/>
      <c r="S9" s="177"/>
    </row>
    <row r="10" spans="1:19" s="146" customFormat="1">
      <c r="A10" s="316">
        <f t="shared" si="1"/>
        <v>6</v>
      </c>
      <c r="B10" s="274"/>
      <c r="C10" s="362"/>
      <c r="D10" s="362"/>
      <c r="E10" s="362"/>
      <c r="F10" s="362"/>
      <c r="G10" s="362"/>
      <c r="H10" s="362"/>
      <c r="I10" s="362"/>
      <c r="J10" s="362"/>
      <c r="K10" s="362"/>
      <c r="L10" s="362">
        <f>9+14+13+14+8+8+9+5</f>
        <v>80</v>
      </c>
      <c r="M10" s="362">
        <f>8+16+7+13+7+9+8+4</f>
        <v>72</v>
      </c>
      <c r="N10" s="362">
        <f>6+18+14+5+9+6+9+5</f>
        <v>72</v>
      </c>
      <c r="O10" s="363">
        <f>7+20+10+12+6+7+9+4</f>
        <v>75</v>
      </c>
      <c r="P10" s="316">
        <f t="shared" si="0"/>
        <v>4</v>
      </c>
      <c r="Q10" s="195"/>
    </row>
    <row r="11" spans="1:19">
      <c r="A11" s="316">
        <f t="shared" si="1"/>
        <v>7</v>
      </c>
      <c r="B11" s="332"/>
      <c r="C11" s="362"/>
      <c r="D11" s="362"/>
      <c r="E11" s="362">
        <v>79</v>
      </c>
      <c r="F11" s="362"/>
      <c r="G11" s="362"/>
      <c r="H11" s="362"/>
      <c r="I11" s="362">
        <v>50</v>
      </c>
      <c r="J11" s="362">
        <v>65</v>
      </c>
      <c r="K11" s="362"/>
      <c r="L11" s="362"/>
      <c r="M11" s="362"/>
      <c r="N11" s="362"/>
      <c r="O11" s="363">
        <f>5+10+10+5+5+10</f>
        <v>45</v>
      </c>
      <c r="P11" s="316">
        <f t="shared" si="0"/>
        <v>4</v>
      </c>
      <c r="Q11" s="195"/>
      <c r="R11" s="254"/>
      <c r="S11" s="254"/>
    </row>
    <row r="12" spans="1:19">
      <c r="A12" s="316">
        <f t="shared" si="1"/>
        <v>8</v>
      </c>
      <c r="B12" s="332"/>
      <c r="C12" s="362"/>
      <c r="D12" s="362"/>
      <c r="E12" s="362"/>
      <c r="F12" s="362"/>
      <c r="G12" s="362"/>
      <c r="H12" s="362">
        <f>5+15+7+7+2+2+8+5</f>
        <v>51</v>
      </c>
      <c r="I12" s="362">
        <f>7+20+9+7+5+5+5+4</f>
        <v>62</v>
      </c>
      <c r="J12" s="362">
        <f>5+15+8+9+9+9+8+4</f>
        <v>67</v>
      </c>
      <c r="K12" s="362">
        <f>5+25+5+5+2+2+7+3</f>
        <v>54</v>
      </c>
      <c r="L12" s="362"/>
      <c r="M12" s="362"/>
      <c r="N12" s="362"/>
      <c r="O12" s="363"/>
      <c r="P12" s="316">
        <f t="shared" si="0"/>
        <v>4</v>
      </c>
      <c r="Q12" s="195"/>
      <c r="R12" s="146"/>
      <c r="S12" s="146"/>
    </row>
    <row r="13" spans="1:19">
      <c r="A13" s="316">
        <f t="shared" si="1"/>
        <v>9</v>
      </c>
      <c r="B13" s="332"/>
      <c r="C13" s="362">
        <v>67</v>
      </c>
      <c r="D13" s="362">
        <v>93</v>
      </c>
      <c r="E13" s="362">
        <v>69</v>
      </c>
      <c r="F13" s="362">
        <v>93</v>
      </c>
      <c r="G13" s="362"/>
      <c r="H13" s="362"/>
      <c r="I13" s="362"/>
      <c r="J13" s="362"/>
      <c r="K13" s="362"/>
      <c r="L13" s="362"/>
      <c r="M13" s="362"/>
      <c r="N13" s="362"/>
      <c r="O13" s="363"/>
      <c r="P13" s="316">
        <f t="shared" si="0"/>
        <v>4</v>
      </c>
      <c r="Q13" s="195"/>
      <c r="R13" s="254"/>
      <c r="S13" s="254"/>
    </row>
    <row r="14" spans="1:19">
      <c r="A14" s="316">
        <f t="shared" si="1"/>
        <v>10</v>
      </c>
      <c r="B14" s="332"/>
      <c r="C14" s="362">
        <v>80</v>
      </c>
      <c r="D14" s="362">
        <v>84</v>
      </c>
      <c r="E14" s="362">
        <v>65</v>
      </c>
      <c r="F14" s="362">
        <v>87</v>
      </c>
      <c r="G14" s="362"/>
      <c r="H14" s="362"/>
      <c r="I14" s="362"/>
      <c r="J14" s="362"/>
      <c r="K14" s="362"/>
      <c r="L14" s="362"/>
      <c r="M14" s="362"/>
      <c r="N14" s="362"/>
      <c r="O14" s="363"/>
      <c r="P14" s="316">
        <f t="shared" si="0"/>
        <v>4</v>
      </c>
      <c r="Q14" s="195"/>
      <c r="R14" s="254"/>
      <c r="S14" s="254"/>
    </row>
    <row r="15" spans="1:19">
      <c r="A15" s="316">
        <f t="shared" si="1"/>
        <v>11</v>
      </c>
      <c r="B15" s="332"/>
      <c r="C15" s="362"/>
      <c r="D15" s="362"/>
      <c r="E15" s="362">
        <f>(83+81)/2</f>
        <v>82</v>
      </c>
      <c r="F15" s="362">
        <v>92</v>
      </c>
      <c r="G15" s="362">
        <v>84</v>
      </c>
      <c r="H15" s="362">
        <v>53</v>
      </c>
      <c r="I15" s="362"/>
      <c r="J15" s="362"/>
      <c r="K15" s="362"/>
      <c r="L15" s="362"/>
      <c r="M15" s="362"/>
      <c r="N15" s="362"/>
      <c r="O15" s="363"/>
      <c r="P15" s="316">
        <f t="shared" si="0"/>
        <v>4</v>
      </c>
      <c r="Q15" s="195"/>
      <c r="R15" s="146"/>
      <c r="S15" s="146"/>
    </row>
    <row r="16" spans="1:19">
      <c r="A16" s="316">
        <f t="shared" si="1"/>
        <v>12</v>
      </c>
      <c r="B16" s="332"/>
      <c r="C16" s="362">
        <v>69</v>
      </c>
      <c r="D16" s="362">
        <v>69</v>
      </c>
      <c r="E16" s="362">
        <v>72</v>
      </c>
      <c r="F16" s="362">
        <v>79</v>
      </c>
      <c r="G16" s="362"/>
      <c r="H16" s="362">
        <v>32</v>
      </c>
      <c r="I16" s="362">
        <v>42</v>
      </c>
      <c r="J16" s="362">
        <v>56</v>
      </c>
      <c r="K16" s="362">
        <v>34</v>
      </c>
      <c r="L16" s="362">
        <v>58</v>
      </c>
      <c r="M16" s="362">
        <v>57</v>
      </c>
      <c r="N16" s="362">
        <v>59</v>
      </c>
      <c r="O16" s="363">
        <v>49</v>
      </c>
      <c r="P16" s="316">
        <f t="shared" si="0"/>
        <v>12</v>
      </c>
      <c r="Q16" s="195"/>
      <c r="R16" s="146"/>
      <c r="S16" s="146"/>
    </row>
    <row r="17" spans="1:20">
      <c r="A17" s="316">
        <f t="shared" si="1"/>
        <v>13</v>
      </c>
      <c r="B17" s="332"/>
      <c r="C17" s="362"/>
      <c r="D17" s="362"/>
      <c r="E17" s="362"/>
      <c r="F17" s="362"/>
      <c r="G17" s="362"/>
      <c r="H17" s="362"/>
      <c r="I17" s="362"/>
      <c r="J17" s="362"/>
      <c r="K17" s="362">
        <v>22</v>
      </c>
      <c r="L17" s="362">
        <v>30</v>
      </c>
      <c r="M17" s="362"/>
      <c r="N17" s="362"/>
      <c r="O17" s="363"/>
      <c r="P17" s="316">
        <f t="shared" si="0"/>
        <v>2</v>
      </c>
      <c r="Q17" s="195"/>
      <c r="R17" s="146"/>
      <c r="S17" s="146"/>
    </row>
    <row r="18" spans="1:20">
      <c r="A18" s="316">
        <f t="shared" si="1"/>
        <v>14</v>
      </c>
      <c r="B18" s="274"/>
      <c r="C18" s="362"/>
      <c r="D18" s="362"/>
      <c r="E18" s="362"/>
      <c r="F18" s="362"/>
      <c r="G18" s="362"/>
      <c r="H18" s="362"/>
      <c r="I18" s="362">
        <v>63</v>
      </c>
      <c r="J18" s="362"/>
      <c r="K18" s="362"/>
      <c r="L18" s="362">
        <v>62</v>
      </c>
      <c r="M18" s="362"/>
      <c r="N18" s="362"/>
      <c r="O18" s="363"/>
      <c r="P18" s="316">
        <f t="shared" si="0"/>
        <v>2</v>
      </c>
      <c r="Q18" s="195"/>
      <c r="R18" s="146"/>
      <c r="S18" s="146"/>
    </row>
    <row r="19" spans="1:20">
      <c r="A19" s="316">
        <f t="shared" si="1"/>
        <v>15</v>
      </c>
      <c r="B19" s="332"/>
      <c r="C19" s="362"/>
      <c r="D19" s="362"/>
      <c r="E19" s="362"/>
      <c r="F19" s="362"/>
      <c r="G19" s="362"/>
      <c r="H19" s="362"/>
      <c r="I19" s="362"/>
      <c r="J19" s="362"/>
      <c r="K19" s="362">
        <v>51</v>
      </c>
      <c r="L19" s="362">
        <v>50</v>
      </c>
      <c r="M19" s="362"/>
      <c r="N19" s="362"/>
      <c r="O19" s="363"/>
      <c r="P19" s="316">
        <f t="shared" si="0"/>
        <v>2</v>
      </c>
      <c r="Q19" s="195"/>
      <c r="R19" s="146"/>
      <c r="S19" s="146"/>
    </row>
    <row r="20" spans="1:20">
      <c r="A20" s="316">
        <f t="shared" si="1"/>
        <v>16</v>
      </c>
      <c r="B20" s="332"/>
      <c r="C20" s="362"/>
      <c r="D20" s="362"/>
      <c r="E20" s="362"/>
      <c r="F20" s="362"/>
      <c r="G20" s="362"/>
      <c r="H20" s="362"/>
      <c r="I20" s="362"/>
      <c r="J20" s="362"/>
      <c r="K20" s="362"/>
      <c r="L20" s="362">
        <v>88</v>
      </c>
      <c r="M20" s="362">
        <v>86</v>
      </c>
      <c r="N20" s="362"/>
      <c r="O20" s="363">
        <v>72</v>
      </c>
      <c r="P20" s="316">
        <f t="shared" si="0"/>
        <v>3</v>
      </c>
      <c r="Q20" s="195"/>
      <c r="R20" s="146"/>
      <c r="S20" s="146"/>
    </row>
    <row r="21" spans="1:20">
      <c r="A21" s="316">
        <f t="shared" si="1"/>
        <v>17</v>
      </c>
      <c r="B21" s="274"/>
      <c r="C21" s="362"/>
      <c r="D21" s="362"/>
      <c r="E21" s="362"/>
      <c r="F21" s="362"/>
      <c r="G21" s="362"/>
      <c r="H21" s="362"/>
      <c r="I21" s="362"/>
      <c r="J21" s="362"/>
      <c r="K21" s="362"/>
      <c r="L21" s="362">
        <v>63</v>
      </c>
      <c r="M21" s="362"/>
      <c r="N21" s="362"/>
      <c r="O21" s="363"/>
      <c r="P21" s="316">
        <f t="shared" si="0"/>
        <v>1</v>
      </c>
      <c r="Q21" s="195"/>
      <c r="R21" s="146"/>
      <c r="S21" s="146"/>
    </row>
    <row r="22" spans="1:20">
      <c r="A22" s="316">
        <f t="shared" si="1"/>
        <v>18</v>
      </c>
      <c r="B22" s="274"/>
      <c r="C22" s="362"/>
      <c r="D22" s="362"/>
      <c r="E22" s="362"/>
      <c r="F22" s="362"/>
      <c r="G22" s="362">
        <v>70</v>
      </c>
      <c r="H22" s="362">
        <v>25</v>
      </c>
      <c r="I22" s="362">
        <v>61</v>
      </c>
      <c r="J22" s="362">
        <v>60</v>
      </c>
      <c r="K22" s="362"/>
      <c r="L22" s="362"/>
      <c r="M22" s="362"/>
      <c r="N22" s="362"/>
      <c r="O22" s="363"/>
      <c r="P22" s="316">
        <f t="shared" si="0"/>
        <v>4</v>
      </c>
      <c r="Q22" s="195"/>
      <c r="R22" s="254"/>
      <c r="S22" s="254"/>
    </row>
    <row r="23" spans="1:20">
      <c r="A23" s="316">
        <f t="shared" si="1"/>
        <v>19</v>
      </c>
      <c r="B23" s="274"/>
      <c r="C23" s="362"/>
      <c r="D23" s="362"/>
      <c r="E23" s="362"/>
      <c r="F23" s="362">
        <v>76</v>
      </c>
      <c r="G23" s="362">
        <v>49</v>
      </c>
      <c r="H23" s="362">
        <v>25</v>
      </c>
      <c r="I23" s="362">
        <v>30</v>
      </c>
      <c r="J23" s="362"/>
      <c r="K23" s="362"/>
      <c r="L23" s="362"/>
      <c r="M23" s="362"/>
      <c r="N23" s="362"/>
      <c r="O23" s="363"/>
      <c r="P23" s="316">
        <f t="shared" si="0"/>
        <v>4</v>
      </c>
      <c r="Q23" s="195"/>
      <c r="R23" s="254"/>
      <c r="S23" s="254"/>
    </row>
    <row r="24" spans="1:20">
      <c r="A24" s="316">
        <f t="shared" si="1"/>
        <v>20</v>
      </c>
      <c r="B24" s="274"/>
      <c r="C24" s="362">
        <v>83</v>
      </c>
      <c r="D24" s="362"/>
      <c r="E24" s="362"/>
      <c r="F24" s="362"/>
      <c r="G24" s="362"/>
      <c r="H24" s="362">
        <v>71</v>
      </c>
      <c r="I24" s="362">
        <v>67</v>
      </c>
      <c r="J24" s="362"/>
      <c r="K24" s="362"/>
      <c r="L24" s="362"/>
      <c r="M24" s="362"/>
      <c r="N24" s="362"/>
      <c r="O24" s="363"/>
      <c r="P24" s="316">
        <f t="shared" si="0"/>
        <v>3</v>
      </c>
    </row>
    <row r="25" spans="1:20">
      <c r="A25" s="316">
        <f t="shared" si="1"/>
        <v>21</v>
      </c>
      <c r="B25" s="274"/>
      <c r="C25" s="362"/>
      <c r="D25" s="362"/>
      <c r="E25" s="362"/>
      <c r="F25" s="362"/>
      <c r="G25" s="362">
        <v>97</v>
      </c>
      <c r="H25" s="362">
        <v>54</v>
      </c>
      <c r="I25" s="362">
        <v>56</v>
      </c>
      <c r="J25" s="362">
        <v>91</v>
      </c>
      <c r="K25" s="362"/>
      <c r="L25" s="362"/>
      <c r="M25" s="362"/>
      <c r="N25" s="362"/>
      <c r="O25" s="363"/>
      <c r="P25" s="316">
        <f t="shared" si="0"/>
        <v>4</v>
      </c>
      <c r="Q25" s="195"/>
      <c r="R25" s="254"/>
      <c r="S25" s="254"/>
    </row>
    <row r="26" spans="1:20">
      <c r="A26" s="316">
        <f t="shared" si="1"/>
        <v>22</v>
      </c>
      <c r="B26" s="274"/>
      <c r="C26" s="362">
        <v>72</v>
      </c>
      <c r="D26" s="362"/>
      <c r="E26" s="362"/>
      <c r="F26" s="362"/>
      <c r="G26" s="362"/>
      <c r="H26" s="362"/>
      <c r="I26" s="362"/>
      <c r="J26" s="362"/>
      <c r="K26" s="362"/>
      <c r="L26" s="362">
        <v>23</v>
      </c>
      <c r="M26" s="362"/>
      <c r="N26" s="362">
        <v>83</v>
      </c>
      <c r="O26" s="363"/>
      <c r="P26" s="316">
        <f t="shared" si="0"/>
        <v>3</v>
      </c>
    </row>
    <row r="27" spans="1:20">
      <c r="A27" s="316">
        <f t="shared" si="1"/>
        <v>23</v>
      </c>
      <c r="B27" s="274"/>
      <c r="C27" s="362"/>
      <c r="D27" s="362"/>
      <c r="E27" s="362"/>
      <c r="F27" s="362"/>
      <c r="G27" s="362"/>
      <c r="H27" s="362"/>
      <c r="I27" s="362"/>
      <c r="J27" s="362"/>
      <c r="K27" s="362"/>
      <c r="L27" s="362">
        <v>42</v>
      </c>
      <c r="M27" s="362">
        <v>48</v>
      </c>
      <c r="N27" s="362">
        <v>55</v>
      </c>
      <c r="O27" s="363"/>
      <c r="P27" s="316">
        <f t="shared" si="0"/>
        <v>3</v>
      </c>
      <c r="Q27" s="195"/>
      <c r="R27" s="146"/>
      <c r="S27" s="146"/>
    </row>
    <row r="28" spans="1:20">
      <c r="A28" s="316">
        <f t="shared" si="1"/>
        <v>24</v>
      </c>
      <c r="B28" s="274"/>
      <c r="C28" s="362"/>
      <c r="D28" s="362"/>
      <c r="E28" s="362"/>
      <c r="F28" s="362"/>
      <c r="G28" s="362"/>
      <c r="H28" s="362"/>
      <c r="I28" s="362"/>
      <c r="J28" s="362"/>
      <c r="K28" s="362"/>
      <c r="L28" s="362">
        <v>62</v>
      </c>
      <c r="M28" s="362">
        <v>67</v>
      </c>
      <c r="N28" s="362">
        <v>82</v>
      </c>
      <c r="O28" s="363">
        <v>55</v>
      </c>
      <c r="P28" s="316">
        <f t="shared" si="0"/>
        <v>4</v>
      </c>
      <c r="Q28" s="195"/>
      <c r="R28" s="146"/>
      <c r="S28" s="146"/>
    </row>
    <row r="29" spans="1:20">
      <c r="A29" s="316">
        <f t="shared" si="1"/>
        <v>25</v>
      </c>
      <c r="B29" s="274"/>
      <c r="C29" s="362"/>
      <c r="D29" s="362"/>
      <c r="E29" s="362">
        <f>7+8+8+7+7+8+7+4</f>
        <v>56</v>
      </c>
      <c r="F29" s="362">
        <f>8+9+9+9+8+8+8+4</f>
        <v>63</v>
      </c>
      <c r="G29" s="362">
        <f>7+7+8+8+8+8+6+3</f>
        <v>55</v>
      </c>
      <c r="H29" s="362">
        <f>6+7+8+8+8+7+8+3</f>
        <v>55</v>
      </c>
      <c r="I29" s="362">
        <f>7+8+8+8+6+7+8+4</f>
        <v>56</v>
      </c>
      <c r="J29" s="362"/>
      <c r="K29" s="362"/>
      <c r="L29" s="362"/>
      <c r="M29" s="362"/>
      <c r="N29" s="362"/>
      <c r="O29" s="363"/>
      <c r="P29" s="316">
        <f t="shared" si="0"/>
        <v>5</v>
      </c>
      <c r="Q29" s="195"/>
      <c r="R29" s="146"/>
      <c r="S29" s="146"/>
    </row>
    <row r="30" spans="1:20">
      <c r="A30" s="316">
        <f t="shared" si="1"/>
        <v>26</v>
      </c>
      <c r="B30" s="274"/>
      <c r="C30" s="362"/>
      <c r="D30" s="362"/>
      <c r="E30" s="362">
        <v>79</v>
      </c>
      <c r="F30" s="362"/>
      <c r="G30" s="362"/>
      <c r="H30" s="362"/>
      <c r="I30" s="362"/>
      <c r="J30" s="362"/>
      <c r="K30" s="362"/>
      <c r="L30" s="362"/>
      <c r="M30" s="362"/>
      <c r="N30" s="362"/>
      <c r="O30" s="363"/>
      <c r="P30" s="316">
        <f t="shared" si="0"/>
        <v>1</v>
      </c>
      <c r="Q30" s="195"/>
      <c r="R30" s="146"/>
      <c r="S30" s="146"/>
      <c r="T30" s="254" t="s">
        <v>169</v>
      </c>
    </row>
    <row r="31" spans="1:20">
      <c r="A31" s="316">
        <f t="shared" si="1"/>
        <v>27</v>
      </c>
      <c r="B31" s="274"/>
      <c r="C31" s="362"/>
      <c r="D31" s="362"/>
      <c r="E31" s="362">
        <v>81</v>
      </c>
      <c r="F31" s="362"/>
      <c r="G31" s="362"/>
      <c r="H31" s="362"/>
      <c r="I31" s="362"/>
      <c r="J31" s="362"/>
      <c r="K31" s="362"/>
      <c r="L31" s="362"/>
      <c r="M31" s="362"/>
      <c r="N31" s="362"/>
      <c r="O31" s="363"/>
      <c r="P31" s="316">
        <f t="shared" si="0"/>
        <v>1</v>
      </c>
      <c r="Q31" s="195"/>
      <c r="R31" s="146"/>
      <c r="S31" s="146"/>
      <c r="T31" s="209"/>
    </row>
    <row r="32" spans="1:20">
      <c r="A32" s="316">
        <f t="shared" si="1"/>
        <v>28</v>
      </c>
      <c r="B32" s="274"/>
      <c r="C32" s="362">
        <v>70</v>
      </c>
      <c r="D32" s="362">
        <v>95</v>
      </c>
      <c r="E32" s="362">
        <v>79</v>
      </c>
      <c r="F32" s="362">
        <v>75</v>
      </c>
      <c r="G32" s="362"/>
      <c r="H32" s="362"/>
      <c r="I32" s="362"/>
      <c r="J32" s="362"/>
      <c r="K32" s="362"/>
      <c r="L32" s="362"/>
      <c r="M32" s="362"/>
      <c r="N32" s="362"/>
      <c r="O32" s="363"/>
      <c r="P32" s="316">
        <f t="shared" si="0"/>
        <v>4</v>
      </c>
      <c r="Q32" s="195"/>
      <c r="R32" s="254"/>
      <c r="S32" s="254"/>
      <c r="T32" s="209"/>
    </row>
    <row r="33" spans="1:17">
      <c r="A33" s="316">
        <f t="shared" si="1"/>
        <v>29</v>
      </c>
      <c r="B33" s="274"/>
      <c r="C33" s="362">
        <v>64</v>
      </c>
      <c r="D33" s="362">
        <v>86</v>
      </c>
      <c r="E33" s="362">
        <v>66</v>
      </c>
      <c r="F33" s="362">
        <v>68</v>
      </c>
      <c r="G33" s="362"/>
      <c r="H33" s="362"/>
      <c r="I33" s="362"/>
      <c r="J33" s="362"/>
      <c r="K33" s="362"/>
      <c r="L33" s="362"/>
      <c r="M33" s="362"/>
      <c r="N33" s="362"/>
      <c r="O33" s="363"/>
      <c r="P33" s="316">
        <f t="shared" si="0"/>
        <v>4</v>
      </c>
    </row>
    <row r="34" spans="1:17">
      <c r="A34" s="316">
        <f t="shared" si="1"/>
        <v>30</v>
      </c>
      <c r="B34" s="274"/>
      <c r="C34" s="362">
        <v>79</v>
      </c>
      <c r="D34" s="362">
        <v>67</v>
      </c>
      <c r="E34" s="362"/>
      <c r="F34" s="362">
        <v>89</v>
      </c>
      <c r="G34" s="362">
        <v>68</v>
      </c>
      <c r="H34" s="362">
        <v>36</v>
      </c>
      <c r="I34" s="362"/>
      <c r="J34" s="362">
        <v>53</v>
      </c>
      <c r="K34" s="362">
        <v>30</v>
      </c>
      <c r="L34" s="362">
        <v>62</v>
      </c>
      <c r="M34" s="362">
        <v>75</v>
      </c>
      <c r="N34" s="362">
        <v>74</v>
      </c>
      <c r="O34" s="363">
        <v>54</v>
      </c>
      <c r="P34" s="316">
        <f t="shared" si="0"/>
        <v>11</v>
      </c>
    </row>
    <row r="35" spans="1:17">
      <c r="A35" s="316">
        <f t="shared" si="1"/>
        <v>31</v>
      </c>
      <c r="B35" s="274"/>
      <c r="C35" s="362">
        <v>59</v>
      </c>
      <c r="D35" s="362">
        <v>91</v>
      </c>
      <c r="E35" s="362">
        <v>79</v>
      </c>
      <c r="F35" s="362">
        <v>94</v>
      </c>
      <c r="G35" s="362"/>
      <c r="H35" s="362"/>
      <c r="I35" s="362"/>
      <c r="J35" s="362"/>
      <c r="K35" s="362"/>
      <c r="L35" s="362"/>
      <c r="M35" s="362"/>
      <c r="N35" s="362"/>
      <c r="O35" s="363"/>
      <c r="P35" s="316">
        <f t="shared" si="0"/>
        <v>4</v>
      </c>
    </row>
    <row r="36" spans="1:17">
      <c r="A36" s="316">
        <f t="shared" si="1"/>
        <v>32</v>
      </c>
      <c r="B36" s="274"/>
      <c r="C36" s="362"/>
      <c r="D36" s="362"/>
      <c r="E36" s="362"/>
      <c r="F36" s="362"/>
      <c r="G36" s="362"/>
      <c r="H36" s="362"/>
      <c r="I36" s="362"/>
      <c r="J36" s="362"/>
      <c r="K36" s="362"/>
      <c r="L36" s="362"/>
      <c r="M36" s="362">
        <v>82</v>
      </c>
      <c r="N36" s="362">
        <v>83</v>
      </c>
      <c r="O36" s="363">
        <v>69</v>
      </c>
      <c r="P36" s="316">
        <f t="shared" si="0"/>
        <v>3</v>
      </c>
    </row>
    <row r="37" spans="1:17">
      <c r="A37" s="316">
        <f t="shared" si="1"/>
        <v>33</v>
      </c>
      <c r="B37" s="274"/>
      <c r="C37" s="362"/>
      <c r="D37" s="362"/>
      <c r="E37" s="362"/>
      <c r="F37" s="362"/>
      <c r="G37" s="362"/>
      <c r="H37" s="362"/>
      <c r="I37" s="362"/>
      <c r="J37" s="362"/>
      <c r="K37" s="362"/>
      <c r="L37" s="362"/>
      <c r="M37" s="362">
        <v>45</v>
      </c>
      <c r="N37" s="362">
        <v>58</v>
      </c>
      <c r="O37" s="363">
        <v>61</v>
      </c>
      <c r="P37" s="316">
        <f t="shared" si="0"/>
        <v>3</v>
      </c>
    </row>
    <row r="38" spans="1:17">
      <c r="A38" s="316">
        <f t="shared" si="1"/>
        <v>34</v>
      </c>
      <c r="B38" s="274"/>
      <c r="C38" s="362"/>
      <c r="D38" s="362"/>
      <c r="E38" s="362"/>
      <c r="F38" s="362"/>
      <c r="G38" s="362"/>
      <c r="H38" s="362"/>
      <c r="I38" s="362"/>
      <c r="J38" s="362"/>
      <c r="K38" s="362"/>
      <c r="L38" s="362">
        <v>68</v>
      </c>
      <c r="M38" s="362">
        <v>79</v>
      </c>
      <c r="N38" s="362">
        <v>81</v>
      </c>
      <c r="O38" s="363">
        <v>82</v>
      </c>
      <c r="P38" s="316">
        <f t="shared" si="0"/>
        <v>4</v>
      </c>
    </row>
    <row r="39" spans="1:17">
      <c r="A39" s="316">
        <f t="shared" si="1"/>
        <v>35</v>
      </c>
      <c r="B39" s="274"/>
      <c r="C39" s="362">
        <v>61</v>
      </c>
      <c r="D39" s="362">
        <v>65</v>
      </c>
      <c r="E39" s="362"/>
      <c r="F39" s="362"/>
      <c r="G39" s="362">
        <v>76</v>
      </c>
      <c r="H39" s="362"/>
      <c r="I39" s="362"/>
      <c r="J39" s="362">
        <v>79</v>
      </c>
      <c r="K39" s="362">
        <v>61</v>
      </c>
      <c r="L39" s="362"/>
      <c r="M39" s="362"/>
      <c r="N39" s="362"/>
      <c r="O39" s="363"/>
      <c r="P39" s="316">
        <f t="shared" si="0"/>
        <v>5</v>
      </c>
    </row>
    <row r="40" spans="1:17">
      <c r="A40" s="316">
        <f t="shared" si="1"/>
        <v>36</v>
      </c>
      <c r="B40" s="364"/>
      <c r="C40" s="362">
        <v>57</v>
      </c>
      <c r="D40" s="362">
        <v>90</v>
      </c>
      <c r="E40" s="362">
        <v>92</v>
      </c>
      <c r="F40" s="362"/>
      <c r="G40" s="362"/>
      <c r="H40" s="362"/>
      <c r="I40" s="362"/>
      <c r="J40" s="362"/>
      <c r="K40" s="362"/>
      <c r="L40" s="362"/>
      <c r="M40" s="362"/>
      <c r="N40" s="362"/>
      <c r="O40" s="363"/>
      <c r="P40" s="316">
        <f t="shared" si="0"/>
        <v>3</v>
      </c>
    </row>
    <row r="41" spans="1:17" s="273" customFormat="1">
      <c r="A41" s="316">
        <f t="shared" si="1"/>
        <v>37</v>
      </c>
      <c r="B41" s="274"/>
      <c r="C41" s="362"/>
      <c r="D41" s="362"/>
      <c r="E41" s="362"/>
      <c r="F41" s="362">
        <v>97</v>
      </c>
      <c r="G41" s="362">
        <v>95</v>
      </c>
      <c r="H41" s="362">
        <v>71</v>
      </c>
      <c r="I41" s="362"/>
      <c r="J41" s="362"/>
      <c r="K41" s="362"/>
      <c r="L41" s="362"/>
      <c r="M41" s="362"/>
      <c r="N41" s="362"/>
      <c r="O41" s="363"/>
      <c r="P41" s="316">
        <f t="shared" si="0"/>
        <v>3</v>
      </c>
      <c r="Q41" s="272"/>
    </row>
    <row r="42" spans="1:17">
      <c r="A42" s="316">
        <f t="shared" si="1"/>
        <v>38</v>
      </c>
      <c r="B42" s="274"/>
      <c r="C42" s="362">
        <v>98</v>
      </c>
      <c r="D42" s="362">
        <v>100</v>
      </c>
      <c r="E42" s="362">
        <v>93</v>
      </c>
      <c r="F42" s="362">
        <v>100</v>
      </c>
      <c r="G42" s="362"/>
      <c r="H42" s="362"/>
      <c r="I42" s="362"/>
      <c r="J42" s="362"/>
      <c r="K42" s="362"/>
      <c r="L42" s="362"/>
      <c r="M42" s="362"/>
      <c r="N42" s="362"/>
      <c r="O42" s="363"/>
      <c r="P42" s="316">
        <f t="shared" si="0"/>
        <v>4</v>
      </c>
    </row>
    <row r="43" spans="1:17">
      <c r="A43" s="316">
        <f t="shared" si="1"/>
        <v>39</v>
      </c>
      <c r="B43" s="274"/>
      <c r="C43" s="362"/>
      <c r="D43" s="362"/>
      <c r="E43" s="362"/>
      <c r="F43" s="362"/>
      <c r="G43" s="362"/>
      <c r="H43" s="362"/>
      <c r="I43" s="362"/>
      <c r="J43" s="362"/>
      <c r="K43" s="362"/>
      <c r="L43" s="362">
        <v>67</v>
      </c>
      <c r="M43" s="362">
        <v>75</v>
      </c>
      <c r="N43" s="362">
        <v>69</v>
      </c>
      <c r="O43" s="363"/>
      <c r="P43" s="316">
        <f t="shared" si="0"/>
        <v>3</v>
      </c>
    </row>
    <row r="44" spans="1:17">
      <c r="A44" s="316">
        <f t="shared" si="1"/>
        <v>40</v>
      </c>
      <c r="B44" s="274"/>
      <c r="C44" s="362"/>
      <c r="D44" s="362">
        <v>100</v>
      </c>
      <c r="E44" s="362"/>
      <c r="F44" s="362"/>
      <c r="G44" s="362"/>
      <c r="H44" s="362"/>
      <c r="I44" s="362"/>
      <c r="J44" s="362"/>
      <c r="K44" s="362">
        <v>70</v>
      </c>
      <c r="L44" s="362"/>
      <c r="M44" s="362"/>
      <c r="N44" s="362"/>
      <c r="O44" s="363"/>
      <c r="P44" s="316">
        <f t="shared" si="0"/>
        <v>2</v>
      </c>
    </row>
    <row r="45" spans="1:17">
      <c r="A45" s="316">
        <f t="shared" si="1"/>
        <v>41</v>
      </c>
      <c r="B45" s="274"/>
      <c r="C45" s="362"/>
      <c r="D45" s="362"/>
      <c r="E45" s="362"/>
      <c r="F45" s="362">
        <v>95</v>
      </c>
      <c r="G45" s="362"/>
      <c r="H45" s="362">
        <v>65</v>
      </c>
      <c r="I45" s="362">
        <v>78</v>
      </c>
      <c r="J45" s="362">
        <v>73</v>
      </c>
      <c r="K45" s="362">
        <v>60</v>
      </c>
      <c r="L45" s="362"/>
      <c r="M45" s="362"/>
      <c r="N45" s="362"/>
      <c r="O45" s="363"/>
      <c r="P45" s="316">
        <f t="shared" si="0"/>
        <v>5</v>
      </c>
    </row>
    <row r="46" spans="1:17">
      <c r="A46" s="316">
        <f t="shared" si="1"/>
        <v>42</v>
      </c>
      <c r="B46" s="274"/>
      <c r="C46" s="362">
        <v>53</v>
      </c>
      <c r="D46" s="362"/>
      <c r="E46" s="362"/>
      <c r="F46" s="362"/>
      <c r="G46" s="362"/>
      <c r="H46" s="362">
        <v>59</v>
      </c>
      <c r="I46" s="362"/>
      <c r="J46" s="362"/>
      <c r="K46" s="362"/>
      <c r="L46" s="362"/>
      <c r="M46" s="362"/>
      <c r="N46" s="362"/>
      <c r="O46" s="363"/>
      <c r="P46" s="316">
        <f t="shared" si="0"/>
        <v>2</v>
      </c>
    </row>
    <row r="47" spans="1:17" s="254" customFormat="1">
      <c r="A47" s="316">
        <f t="shared" si="1"/>
        <v>43</v>
      </c>
      <c r="B47" s="274"/>
      <c r="C47" s="362"/>
      <c r="D47" s="362"/>
      <c r="E47" s="362"/>
      <c r="F47" s="362"/>
      <c r="G47" s="362"/>
      <c r="H47" s="362"/>
      <c r="I47" s="362"/>
      <c r="J47" s="362"/>
      <c r="K47" s="362"/>
      <c r="L47" s="362"/>
      <c r="M47" s="362">
        <v>73</v>
      </c>
      <c r="N47" s="362">
        <v>74</v>
      </c>
      <c r="O47" s="363">
        <v>81</v>
      </c>
      <c r="P47" s="316">
        <f t="shared" si="0"/>
        <v>3</v>
      </c>
      <c r="Q47" s="195"/>
    </row>
    <row r="48" spans="1:17">
      <c r="A48" s="316">
        <f t="shared" si="1"/>
        <v>44</v>
      </c>
      <c r="B48" s="274"/>
      <c r="C48" s="362"/>
      <c r="D48" s="362"/>
      <c r="E48" s="362"/>
      <c r="F48" s="362">
        <v>93</v>
      </c>
      <c r="G48" s="362">
        <v>95</v>
      </c>
      <c r="H48" s="362">
        <v>59</v>
      </c>
      <c r="I48" s="362">
        <v>68</v>
      </c>
      <c r="J48" s="362"/>
      <c r="K48" s="362"/>
      <c r="L48" s="362"/>
      <c r="M48" s="362"/>
      <c r="N48" s="362"/>
      <c r="O48" s="363"/>
      <c r="P48" s="316">
        <f t="shared" si="0"/>
        <v>4</v>
      </c>
    </row>
    <row r="49" spans="1:17">
      <c r="A49" s="316">
        <f t="shared" si="1"/>
        <v>45</v>
      </c>
      <c r="B49" s="274"/>
      <c r="C49" s="362"/>
      <c r="D49" s="362"/>
      <c r="E49" s="362"/>
      <c r="F49" s="362">
        <v>100</v>
      </c>
      <c r="G49" s="362"/>
      <c r="H49" s="362">
        <v>68</v>
      </c>
      <c r="I49" s="362">
        <f>8+20+15+5+10+10+10+5</f>
        <v>83</v>
      </c>
      <c r="J49" s="362">
        <f>8+18+10+15+8+10+10+5</f>
        <v>84</v>
      </c>
      <c r="K49" s="362">
        <f>10+25+12+12+8+8+10+5</f>
        <v>90</v>
      </c>
      <c r="L49" s="362"/>
      <c r="M49" s="362"/>
      <c r="N49" s="362"/>
      <c r="O49" s="363"/>
      <c r="P49" s="316">
        <f t="shared" si="0"/>
        <v>5</v>
      </c>
    </row>
    <row r="50" spans="1:17">
      <c r="A50" s="316">
        <f t="shared" si="1"/>
        <v>46</v>
      </c>
      <c r="B50" s="274"/>
      <c r="C50" s="362">
        <v>74</v>
      </c>
      <c r="D50" s="362">
        <f>3+12+15+6+7+9+8+4</f>
        <v>64</v>
      </c>
      <c r="E50" s="362">
        <f>7+15+10+10+8+8+8+5</f>
        <v>71</v>
      </c>
      <c r="F50" s="362">
        <f>10+20+15+12+10+9+9+5</f>
        <v>90</v>
      </c>
      <c r="G50" s="362">
        <f>3+6+7+10+5+4+5+3.5</f>
        <v>43.5</v>
      </c>
      <c r="H50" s="362">
        <v>27</v>
      </c>
      <c r="I50" s="362">
        <v>27</v>
      </c>
      <c r="J50" s="362">
        <v>40</v>
      </c>
      <c r="K50" s="362">
        <v>39</v>
      </c>
      <c r="L50" s="362">
        <v>24</v>
      </c>
      <c r="M50" s="362">
        <v>46</v>
      </c>
      <c r="N50" s="362">
        <v>50.5</v>
      </c>
      <c r="O50" s="363">
        <v>36</v>
      </c>
      <c r="P50" s="316">
        <f t="shared" si="0"/>
        <v>13</v>
      </c>
    </row>
    <row r="51" spans="1:17">
      <c r="A51" s="316">
        <f t="shared" si="1"/>
        <v>47</v>
      </c>
      <c r="B51" s="274"/>
      <c r="C51" s="362"/>
      <c r="D51" s="362"/>
      <c r="E51" s="362"/>
      <c r="F51" s="362"/>
      <c r="G51" s="362"/>
      <c r="H51" s="362"/>
      <c r="I51" s="362"/>
      <c r="J51" s="362"/>
      <c r="K51" s="362">
        <v>71</v>
      </c>
      <c r="L51" s="362">
        <v>74</v>
      </c>
      <c r="M51" s="362">
        <v>78</v>
      </c>
      <c r="N51" s="362">
        <v>79</v>
      </c>
      <c r="O51" s="363"/>
      <c r="P51" s="316">
        <f t="shared" si="0"/>
        <v>4</v>
      </c>
    </row>
    <row r="52" spans="1:17">
      <c r="A52" s="316">
        <f t="shared" si="1"/>
        <v>48</v>
      </c>
      <c r="B52" s="274"/>
      <c r="C52" s="362"/>
      <c r="D52" s="362"/>
      <c r="E52" s="362"/>
      <c r="F52" s="362">
        <v>79</v>
      </c>
      <c r="G52" s="362"/>
      <c r="H52" s="362">
        <v>69</v>
      </c>
      <c r="I52" s="362">
        <v>91</v>
      </c>
      <c r="J52" s="362">
        <v>87</v>
      </c>
      <c r="K52" s="362">
        <v>81</v>
      </c>
      <c r="L52" s="362"/>
      <c r="M52" s="362"/>
      <c r="N52" s="362"/>
      <c r="O52" s="363"/>
      <c r="P52" s="316">
        <f t="shared" si="0"/>
        <v>5</v>
      </c>
    </row>
    <row r="53" spans="1:17">
      <c r="A53" s="316">
        <f t="shared" si="1"/>
        <v>49</v>
      </c>
      <c r="B53" s="274"/>
      <c r="C53" s="362">
        <v>46</v>
      </c>
      <c r="D53" s="362">
        <v>85</v>
      </c>
      <c r="E53" s="362">
        <v>80</v>
      </c>
      <c r="F53" s="362">
        <v>90</v>
      </c>
      <c r="G53" s="362"/>
      <c r="H53" s="362"/>
      <c r="I53" s="362"/>
      <c r="J53" s="362"/>
      <c r="K53" s="362"/>
      <c r="L53" s="362"/>
      <c r="M53" s="362"/>
      <c r="N53" s="362"/>
      <c r="O53" s="363"/>
      <c r="P53" s="316">
        <f t="shared" si="0"/>
        <v>4</v>
      </c>
    </row>
    <row r="54" spans="1:17">
      <c r="A54" s="316">
        <f t="shared" si="1"/>
        <v>50</v>
      </c>
      <c r="B54" s="274"/>
      <c r="C54" s="362"/>
      <c r="D54" s="362"/>
      <c r="E54" s="362"/>
      <c r="F54" s="362"/>
      <c r="G54" s="362">
        <v>70</v>
      </c>
      <c r="H54" s="362">
        <v>61</v>
      </c>
      <c r="I54" s="362">
        <v>69</v>
      </c>
      <c r="J54" s="362">
        <v>70</v>
      </c>
      <c r="K54" s="362"/>
      <c r="L54" s="362"/>
      <c r="M54" s="362"/>
      <c r="N54" s="362"/>
      <c r="O54" s="363"/>
      <c r="P54" s="316">
        <f t="shared" si="0"/>
        <v>4</v>
      </c>
    </row>
    <row r="55" spans="1:17">
      <c r="A55" s="316">
        <f t="shared" si="1"/>
        <v>51</v>
      </c>
      <c r="B55" s="274"/>
      <c r="C55" s="362"/>
      <c r="D55" s="362"/>
      <c r="E55" s="362"/>
      <c r="F55" s="362"/>
      <c r="G55" s="362"/>
      <c r="H55" s="362"/>
      <c r="I55" s="362"/>
      <c r="J55" s="362"/>
      <c r="K55" s="362"/>
      <c r="L55" s="362">
        <v>63</v>
      </c>
      <c r="M55" s="362"/>
      <c r="N55" s="362"/>
      <c r="O55" s="363"/>
      <c r="P55" s="316">
        <f t="shared" si="0"/>
        <v>1</v>
      </c>
    </row>
    <row r="57" spans="1:17">
      <c r="A57" s="255" t="s">
        <v>67</v>
      </c>
      <c r="C57" s="275">
        <f>AVERAGE(C5:C55)</f>
        <v>66.882352941176464</v>
      </c>
      <c r="D57" s="275">
        <f t="shared" ref="D57:O57" si="2">AVERAGE(D5:D55)</f>
        <v>83.466666666666669</v>
      </c>
      <c r="E57" s="275">
        <f t="shared" si="2"/>
        <v>76.705882352941174</v>
      </c>
      <c r="F57" s="275">
        <f t="shared" si="2"/>
        <v>86.7</v>
      </c>
      <c r="G57" s="275">
        <f t="shared" si="2"/>
        <v>72.607142857142861</v>
      </c>
      <c r="H57" s="275">
        <f t="shared" si="2"/>
        <v>51.05263157894737</v>
      </c>
      <c r="I57" s="275">
        <f t="shared" si="2"/>
        <v>59.823529411764703</v>
      </c>
      <c r="J57" s="275">
        <f t="shared" si="2"/>
        <v>67</v>
      </c>
      <c r="K57" s="275">
        <f t="shared" si="2"/>
        <v>55.125</v>
      </c>
      <c r="L57" s="275">
        <f t="shared" si="2"/>
        <v>59.05</v>
      </c>
      <c r="M57" s="275">
        <f t="shared" si="2"/>
        <v>70.944444444444443</v>
      </c>
      <c r="N57" s="275">
        <f t="shared" si="2"/>
        <v>71.558823529411768</v>
      </c>
      <c r="O57" s="275">
        <f t="shared" si="2"/>
        <v>61.857142857142854</v>
      </c>
    </row>
    <row r="58" spans="1:17">
      <c r="A58" s="255" t="s">
        <v>48</v>
      </c>
      <c r="B58" s="254" t="s">
        <v>237</v>
      </c>
      <c r="C58" s="275">
        <f>IF(C57&lt;5, 5,C57)</f>
        <v>66.882352941176464</v>
      </c>
      <c r="D58" s="275">
        <f t="shared" ref="D58:L58" si="3">IF(D57&lt;5, 5,D57)</f>
        <v>83.466666666666669</v>
      </c>
      <c r="E58" s="275">
        <f t="shared" si="3"/>
        <v>76.705882352941174</v>
      </c>
      <c r="F58" s="275">
        <f t="shared" si="3"/>
        <v>86.7</v>
      </c>
      <c r="G58" s="275">
        <f t="shared" si="3"/>
        <v>72.607142857142861</v>
      </c>
      <c r="H58" s="275">
        <f t="shared" si="3"/>
        <v>51.05263157894737</v>
      </c>
      <c r="I58" s="275">
        <f t="shared" si="3"/>
        <v>59.823529411764703</v>
      </c>
      <c r="J58" s="275">
        <f t="shared" si="3"/>
        <v>67</v>
      </c>
      <c r="K58" s="275">
        <f t="shared" si="3"/>
        <v>55.125</v>
      </c>
      <c r="L58" s="275">
        <f t="shared" si="3"/>
        <v>59.05</v>
      </c>
      <c r="M58" s="275">
        <f>IF(M57&lt;5, 5,M57)</f>
        <v>70.944444444444443</v>
      </c>
      <c r="N58" s="275">
        <f>IF(N57&lt;5, 5,N57)</f>
        <v>71.558823529411768</v>
      </c>
      <c r="O58" s="275">
        <f>IF(O57&lt;5, 5,O57)</f>
        <v>61.857142857142854</v>
      </c>
    </row>
    <row r="59" spans="1:17">
      <c r="M59" s="142"/>
      <c r="O59" s="324"/>
      <c r="Q59" s="254" t="s">
        <v>118</v>
      </c>
    </row>
    <row r="60" spans="1:17">
      <c r="A60" s="255"/>
      <c r="F60" s="142"/>
      <c r="G60" s="142"/>
      <c r="H60" s="142"/>
      <c r="K60" s="142"/>
      <c r="M60" s="142"/>
      <c r="N60" s="142"/>
      <c r="O60" s="324"/>
      <c r="Q60" s="254" t="s">
        <v>119</v>
      </c>
    </row>
    <row r="61" spans="1:17">
      <c r="B61" s="255"/>
      <c r="C61" s="255"/>
      <c r="D61" s="255"/>
      <c r="E61" s="255"/>
      <c r="F61" s="255"/>
      <c r="G61" s="255"/>
      <c r="H61" s="255"/>
      <c r="I61" s="255"/>
      <c r="J61" s="255"/>
      <c r="K61" s="255"/>
      <c r="L61" s="255"/>
      <c r="M61" s="255"/>
      <c r="N61" s="255"/>
      <c r="O61" s="207"/>
    </row>
  </sheetData>
  <phoneticPr fontId="25" type="noConversion"/>
  <printOptions gridLines="1"/>
  <pageMargins left="0.75" right="0.75" top="1" bottom="1" header="0.5" footer="0.5"/>
  <pageSetup scale="5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D25"/>
  <sheetViews>
    <sheetView zoomScaleNormal="100" workbookViewId="0"/>
  </sheetViews>
  <sheetFormatPr defaultColWidth="8.85546875" defaultRowHeight="12.75"/>
  <cols>
    <col min="2" max="2" width="53.85546875" customWidth="1"/>
  </cols>
  <sheetData>
    <row r="1" spans="1:4" ht="18.75">
      <c r="B1" s="7" t="s">
        <v>203</v>
      </c>
      <c r="C1" s="6"/>
      <c r="D1" s="6"/>
    </row>
    <row r="2" spans="1:4">
      <c r="B2" s="6"/>
      <c r="C2" s="6"/>
      <c r="D2" s="6"/>
    </row>
    <row r="3" spans="1:4">
      <c r="B3" s="6"/>
      <c r="C3" s="6"/>
      <c r="D3" s="6"/>
    </row>
    <row r="4" spans="1:4">
      <c r="B4" s="24"/>
      <c r="C4" s="23" t="s">
        <v>9</v>
      </c>
      <c r="D4" s="20"/>
    </row>
    <row r="5" spans="1:4" ht="20.25">
      <c r="A5" s="376">
        <v>1</v>
      </c>
      <c r="B5" s="376" t="s">
        <v>179</v>
      </c>
      <c r="C5" s="393">
        <v>50</v>
      </c>
    </row>
    <row r="6" spans="1:4" ht="20.25">
      <c r="A6" s="376">
        <v>2</v>
      </c>
      <c r="B6" s="376" t="s">
        <v>180</v>
      </c>
      <c r="C6" s="393">
        <v>50</v>
      </c>
    </row>
    <row r="7" spans="1:4" ht="20.25">
      <c r="A7" s="376">
        <v>3</v>
      </c>
      <c r="B7" s="376" t="s">
        <v>181</v>
      </c>
      <c r="C7" s="393">
        <v>50</v>
      </c>
    </row>
    <row r="8" spans="1:4" s="185" customFormat="1" ht="20.25">
      <c r="A8" s="376">
        <v>4</v>
      </c>
      <c r="B8" s="376" t="s">
        <v>182</v>
      </c>
      <c r="C8" s="393">
        <v>50</v>
      </c>
    </row>
    <row r="9" spans="1:4" ht="20.25">
      <c r="A9" s="376">
        <v>7</v>
      </c>
      <c r="B9" s="376" t="s">
        <v>183</v>
      </c>
      <c r="C9" s="393">
        <v>50</v>
      </c>
    </row>
    <row r="10" spans="1:4" ht="20.25">
      <c r="A10" s="376">
        <v>8</v>
      </c>
      <c r="B10" s="376" t="s">
        <v>184</v>
      </c>
      <c r="C10" s="393">
        <v>50</v>
      </c>
    </row>
    <row r="11" spans="1:4" ht="20.25">
      <c r="A11" s="376">
        <v>9</v>
      </c>
      <c r="B11" s="376" t="s">
        <v>185</v>
      </c>
      <c r="C11" s="393">
        <v>50</v>
      </c>
    </row>
    <row r="12" spans="1:4" ht="20.25">
      <c r="A12" s="376">
        <v>10</v>
      </c>
      <c r="B12" s="376" t="s">
        <v>186</v>
      </c>
      <c r="C12" s="393">
        <v>50</v>
      </c>
    </row>
    <row r="13" spans="1:4" ht="20.25">
      <c r="A13" s="376">
        <v>11</v>
      </c>
      <c r="B13" s="376" t="s">
        <v>187</v>
      </c>
      <c r="C13" s="393">
        <v>50</v>
      </c>
    </row>
    <row r="14" spans="1:4" s="125" customFormat="1" ht="20.25">
      <c r="A14" s="376">
        <v>14</v>
      </c>
      <c r="B14" s="376" t="s">
        <v>188</v>
      </c>
      <c r="C14" s="393">
        <v>50</v>
      </c>
    </row>
    <row r="15" spans="1:4" ht="20.25">
      <c r="A15" s="376">
        <v>15</v>
      </c>
      <c r="B15" s="376" t="s">
        <v>189</v>
      </c>
      <c r="C15" s="393">
        <v>50</v>
      </c>
    </row>
    <row r="16" spans="1:4" ht="20.25">
      <c r="A16" s="376">
        <v>16</v>
      </c>
      <c r="B16" s="376" t="s">
        <v>190</v>
      </c>
      <c r="C16" s="393">
        <v>50</v>
      </c>
    </row>
    <row r="17" spans="1:3" ht="20.25">
      <c r="A17" s="376">
        <v>17</v>
      </c>
      <c r="B17" s="376" t="s">
        <v>191</v>
      </c>
      <c r="C17" s="393">
        <v>50</v>
      </c>
    </row>
    <row r="18" spans="1:3" ht="15">
      <c r="B18" s="283"/>
      <c r="C18" s="290" t="s">
        <v>42</v>
      </c>
    </row>
    <row r="19" spans="1:3">
      <c r="C19" s="254" t="s">
        <v>126</v>
      </c>
    </row>
    <row r="20" spans="1:3">
      <c r="B20" s="22"/>
    </row>
    <row r="21" spans="1:3">
      <c r="B21" s="22"/>
    </row>
    <row r="22" spans="1:3">
      <c r="B22" s="22"/>
    </row>
    <row r="23" spans="1:3">
      <c r="B23" s="22"/>
    </row>
    <row r="24" spans="1:3">
      <c r="B24" s="22"/>
    </row>
    <row r="25" spans="1:3">
      <c r="B25" s="22"/>
    </row>
  </sheetData>
  <phoneticPr fontId="25" type="noConversion"/>
  <printOptions gridLines="1"/>
  <pageMargins left="0.75" right="0.75" top="1" bottom="1" header="0.5" footer="0.5"/>
  <pageSetup scale="9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34"/>
  <sheetViews>
    <sheetView topLeftCell="A7" zoomScaleNormal="100" workbookViewId="0"/>
  </sheetViews>
  <sheetFormatPr defaultColWidth="8.85546875" defaultRowHeight="12.75"/>
  <cols>
    <col min="2" max="2" width="54.5703125" customWidth="1"/>
    <col min="3" max="3" width="11.42578125" bestFit="1" customWidth="1"/>
    <col min="4" max="4" width="12.42578125" customWidth="1"/>
    <col min="5" max="5" width="9.140625" hidden="1" customWidth="1"/>
    <col min="6" max="6" width="8.85546875" style="177"/>
    <col min="8" max="8" width="16.42578125" hidden="1" customWidth="1"/>
    <col min="9" max="9" width="11.42578125" customWidth="1"/>
    <col min="10" max="10" width="13.42578125" customWidth="1"/>
    <col min="11" max="11" width="13.140625" customWidth="1"/>
  </cols>
  <sheetData>
    <row r="1" spans="1:16" ht="18.75">
      <c r="B1" s="7" t="s">
        <v>202</v>
      </c>
      <c r="C1" s="6"/>
      <c r="D1" s="6"/>
      <c r="E1" s="6"/>
    </row>
    <row r="2" spans="1:16" s="59" customFormat="1">
      <c r="B2" s="34"/>
      <c r="C2" s="34"/>
      <c r="D2" s="34"/>
      <c r="E2" s="34"/>
      <c r="F2" s="177"/>
    </row>
    <row r="3" spans="1:16" s="59" customFormat="1">
      <c r="B3" s="34"/>
      <c r="C3" s="60"/>
      <c r="D3" s="72"/>
      <c r="E3" s="34"/>
      <c r="F3" s="177"/>
    </row>
    <row r="4" spans="1:16" s="59" customFormat="1">
      <c r="B4" s="34"/>
      <c r="C4" s="60"/>
      <c r="D4" s="72"/>
      <c r="E4" s="34"/>
      <c r="F4" s="177"/>
    </row>
    <row r="5" spans="1:16" s="59" customFormat="1" ht="18">
      <c r="B5" s="24"/>
      <c r="C5" s="24"/>
      <c r="D5" s="24"/>
      <c r="E5" s="34"/>
      <c r="F5" s="177"/>
      <c r="I5" s="258"/>
    </row>
    <row r="6" spans="1:16" ht="51">
      <c r="B6" s="116" t="s">
        <v>100</v>
      </c>
      <c r="C6" s="116"/>
      <c r="D6" s="116" t="s">
        <v>63</v>
      </c>
      <c r="E6" s="116"/>
      <c r="F6" s="220" t="s">
        <v>120</v>
      </c>
      <c r="G6" s="220"/>
      <c r="H6" s="220"/>
      <c r="I6" s="220" t="s">
        <v>97</v>
      </c>
      <c r="J6" s="220" t="s">
        <v>98</v>
      </c>
      <c r="K6" s="220" t="s">
        <v>99</v>
      </c>
      <c r="L6" s="220"/>
      <c r="M6" s="220" t="s">
        <v>123</v>
      </c>
      <c r="N6" s="220" t="s">
        <v>27</v>
      </c>
    </row>
    <row r="7" spans="1:16" ht="20.25">
      <c r="A7" s="376">
        <v>1</v>
      </c>
      <c r="B7" s="376" t="s">
        <v>179</v>
      </c>
      <c r="D7" s="375">
        <v>11854.66425</v>
      </c>
      <c r="E7" s="214"/>
      <c r="F7" s="261">
        <f t="shared" ref="F7:F18" si="0">-($C$24*D7)+$C$25</f>
        <v>17.254576852320081</v>
      </c>
      <c r="G7" s="48"/>
      <c r="I7" s="383">
        <v>6</v>
      </c>
      <c r="J7" s="384">
        <v>4</v>
      </c>
      <c r="K7" s="384">
        <v>3</v>
      </c>
      <c r="L7" s="48"/>
      <c r="M7" s="209">
        <f>IF(SUM(F7:K7)&lt;2.5,2.5,SUM(F7:K7))</f>
        <v>30.254576852320081</v>
      </c>
      <c r="N7" s="207">
        <f t="shared" ref="N7:N16" si="1">RANK(M7,$M$7:$M$19)</f>
        <v>6</v>
      </c>
    </row>
    <row r="8" spans="1:16" ht="20.25">
      <c r="A8" s="376">
        <v>2</v>
      </c>
      <c r="B8" s="376" t="s">
        <v>180</v>
      </c>
      <c r="D8" s="375">
        <v>10798.11</v>
      </c>
      <c r="E8" s="215"/>
      <c r="F8" s="261">
        <f t="shared" si="0"/>
        <v>19.557561860254236</v>
      </c>
      <c r="G8" s="48"/>
      <c r="I8" s="385">
        <v>10</v>
      </c>
      <c r="J8" s="386">
        <v>9</v>
      </c>
      <c r="K8" s="386">
        <v>9</v>
      </c>
      <c r="L8" s="48"/>
      <c r="M8" s="209">
        <f t="shared" ref="M8:M16" si="2">IF(SUM(F8:K8)&lt;2.5,2.5,SUM(F8:K8))</f>
        <v>47.557561860254239</v>
      </c>
      <c r="N8" s="207">
        <f t="shared" si="1"/>
        <v>1</v>
      </c>
    </row>
    <row r="9" spans="1:16" ht="20.25">
      <c r="A9" s="376">
        <v>3</v>
      </c>
      <c r="B9" s="376" t="s">
        <v>181</v>
      </c>
      <c r="D9" s="375">
        <v>11765.8</v>
      </c>
      <c r="E9" s="216"/>
      <c r="F9" s="261">
        <f t="shared" si="0"/>
        <v>17.448275411093864</v>
      </c>
      <c r="G9" s="48"/>
      <c r="I9" s="385">
        <v>9</v>
      </c>
      <c r="J9" s="386">
        <v>10</v>
      </c>
      <c r="K9" s="386">
        <v>10</v>
      </c>
      <c r="L9" s="48"/>
      <c r="M9" s="209">
        <f t="shared" si="2"/>
        <v>46.44827541109386</v>
      </c>
      <c r="N9" s="207">
        <f t="shared" si="1"/>
        <v>3</v>
      </c>
    </row>
    <row r="10" spans="1:16" s="205" customFormat="1" ht="20.25">
      <c r="A10" s="376">
        <v>4</v>
      </c>
      <c r="B10" s="376" t="s">
        <v>182</v>
      </c>
      <c r="C10"/>
      <c r="D10" s="375">
        <v>13704.81</v>
      </c>
      <c r="E10" s="217"/>
      <c r="F10" s="261">
        <f t="shared" si="0"/>
        <v>13.22179015467243</v>
      </c>
      <c r="G10" s="48"/>
      <c r="H10"/>
      <c r="I10" s="385">
        <v>10</v>
      </c>
      <c r="J10" s="386">
        <v>10</v>
      </c>
      <c r="K10" s="386">
        <v>6</v>
      </c>
      <c r="L10" s="48"/>
      <c r="M10" s="209">
        <f t="shared" si="2"/>
        <v>39.221790154672433</v>
      </c>
      <c r="N10" s="207">
        <f t="shared" si="1"/>
        <v>4</v>
      </c>
    </row>
    <row r="11" spans="1:16" s="205" customFormat="1" ht="20.25">
      <c r="A11" s="376">
        <v>7</v>
      </c>
      <c r="B11" s="376" t="s">
        <v>183</v>
      </c>
      <c r="C11"/>
      <c r="D11" s="375">
        <v>15804.78</v>
      </c>
      <c r="E11" s="216"/>
      <c r="F11" s="261">
        <f t="shared" si="0"/>
        <v>8.6444582977313544</v>
      </c>
      <c r="G11" s="48"/>
      <c r="H11"/>
      <c r="I11" s="385">
        <v>10</v>
      </c>
      <c r="J11" s="386">
        <v>8</v>
      </c>
      <c r="K11" s="386">
        <v>8</v>
      </c>
      <c r="L11" s="48"/>
      <c r="M11" s="209">
        <f t="shared" si="2"/>
        <v>34.644458297731354</v>
      </c>
      <c r="N11" s="207">
        <f t="shared" si="1"/>
        <v>5</v>
      </c>
    </row>
    <row r="12" spans="1:16" s="205" customFormat="1" ht="20.25">
      <c r="A12" s="376">
        <v>8</v>
      </c>
      <c r="B12" s="376" t="s">
        <v>184</v>
      </c>
      <c r="C12"/>
      <c r="D12" s="375">
        <v>14779.27</v>
      </c>
      <c r="E12" s="216"/>
      <c r="F12" s="261">
        <f t="shared" si="0"/>
        <v>10.879775751129088</v>
      </c>
      <c r="G12" s="48"/>
      <c r="H12"/>
      <c r="I12" s="385">
        <v>3</v>
      </c>
      <c r="J12" s="386">
        <v>3</v>
      </c>
      <c r="K12" s="386">
        <v>3</v>
      </c>
      <c r="L12" s="48"/>
      <c r="M12" s="209">
        <f t="shared" si="2"/>
        <v>19.879775751129088</v>
      </c>
      <c r="N12" s="207">
        <f t="shared" si="1"/>
        <v>12</v>
      </c>
    </row>
    <row r="13" spans="1:16" ht="20.25">
      <c r="A13" s="376">
        <v>9</v>
      </c>
      <c r="B13" s="376" t="s">
        <v>185</v>
      </c>
      <c r="D13" s="375">
        <v>19770.650000000001</v>
      </c>
      <c r="E13" s="214"/>
      <c r="F13" s="261">
        <f t="shared" si="0"/>
        <v>0</v>
      </c>
      <c r="G13" s="48"/>
      <c r="I13" s="385">
        <v>4</v>
      </c>
      <c r="J13" s="386">
        <v>6</v>
      </c>
      <c r="K13" s="386">
        <v>3</v>
      </c>
      <c r="L13" s="48"/>
      <c r="M13" s="209">
        <f t="shared" si="2"/>
        <v>13</v>
      </c>
      <c r="N13" s="207">
        <f t="shared" si="1"/>
        <v>13</v>
      </c>
      <c r="P13" s="177"/>
    </row>
    <row r="14" spans="1:16" ht="20.25">
      <c r="A14" s="376">
        <v>10</v>
      </c>
      <c r="B14" s="376" t="s">
        <v>186</v>
      </c>
      <c r="D14" s="375">
        <v>14787.71</v>
      </c>
      <c r="E14" s="214"/>
      <c r="F14" s="261">
        <f t="shared" si="0"/>
        <v>10.861378973616752</v>
      </c>
      <c r="G14" s="48"/>
      <c r="I14" s="385">
        <v>6</v>
      </c>
      <c r="J14" s="386">
        <v>4</v>
      </c>
      <c r="K14" s="386">
        <v>7</v>
      </c>
      <c r="L14" s="48"/>
      <c r="M14" s="209">
        <f t="shared" si="2"/>
        <v>27.861378973616752</v>
      </c>
      <c r="N14" s="207">
        <f t="shared" si="1"/>
        <v>7</v>
      </c>
    </row>
    <row r="15" spans="1:16" ht="20.25">
      <c r="A15" s="376">
        <v>11</v>
      </c>
      <c r="B15" s="376" t="s">
        <v>187</v>
      </c>
      <c r="D15" s="375">
        <v>18811.669999999998</v>
      </c>
      <c r="E15" s="214"/>
      <c r="F15" s="261">
        <f t="shared" si="0"/>
        <v>2.0903011491446861</v>
      </c>
      <c r="G15" s="48"/>
      <c r="I15" s="385">
        <v>10</v>
      </c>
      <c r="J15" s="386">
        <v>6</v>
      </c>
      <c r="K15" s="386">
        <v>6</v>
      </c>
      <c r="L15" s="48"/>
      <c r="M15" s="209">
        <f t="shared" si="2"/>
        <v>24.090301149144686</v>
      </c>
      <c r="N15" s="207">
        <f t="shared" si="1"/>
        <v>9</v>
      </c>
    </row>
    <row r="16" spans="1:16" ht="20.25">
      <c r="A16" s="376">
        <v>14</v>
      </c>
      <c r="B16" s="376" t="s">
        <v>188</v>
      </c>
      <c r="D16" s="375">
        <v>15124.25</v>
      </c>
      <c r="E16" s="218"/>
      <c r="F16" s="261">
        <f t="shared" si="0"/>
        <v>10.127818368877186</v>
      </c>
      <c r="G16" s="48"/>
      <c r="I16" s="385">
        <v>3</v>
      </c>
      <c r="J16" s="386">
        <v>5</v>
      </c>
      <c r="K16" s="386">
        <v>3</v>
      </c>
      <c r="L16" s="48"/>
      <c r="M16" s="209">
        <f t="shared" si="2"/>
        <v>21.127818368877186</v>
      </c>
      <c r="N16" s="207">
        <f t="shared" si="1"/>
        <v>11</v>
      </c>
    </row>
    <row r="17" spans="1:16" ht="20.25">
      <c r="A17" s="376">
        <v>15</v>
      </c>
      <c r="B17" s="376" t="s">
        <v>189</v>
      </c>
      <c r="D17" s="375">
        <v>12208.48</v>
      </c>
      <c r="E17" s="219"/>
      <c r="F17" s="261">
        <f t="shared" si="0"/>
        <v>16.483360071145828</v>
      </c>
      <c r="G17" s="48"/>
      <c r="I17" s="385">
        <v>10</v>
      </c>
      <c r="J17" s="386">
        <v>10</v>
      </c>
      <c r="K17" s="386">
        <v>10</v>
      </c>
      <c r="L17" s="48"/>
      <c r="M17" s="209">
        <f>IF(SUM(F17:K17)&lt;2.5,2.5,SUM(F17:K17))</f>
        <v>46.483360071145825</v>
      </c>
      <c r="N17" s="207">
        <f>RANK(M17,$M$7:$M$19)</f>
        <v>2</v>
      </c>
    </row>
    <row r="18" spans="1:16" s="125" customFormat="1" ht="20.25">
      <c r="A18" s="376">
        <v>16</v>
      </c>
      <c r="B18" s="376" t="s">
        <v>190</v>
      </c>
      <c r="C18"/>
      <c r="D18" s="375">
        <v>16126.57</v>
      </c>
      <c r="E18" s="216"/>
      <c r="F18" s="261">
        <f t="shared" si="0"/>
        <v>7.9430484593788648</v>
      </c>
      <c r="G18" s="48"/>
      <c r="H18"/>
      <c r="I18" s="385">
        <v>10</v>
      </c>
      <c r="J18" s="386">
        <v>4</v>
      </c>
      <c r="K18" s="386">
        <v>0</v>
      </c>
      <c r="L18" s="48"/>
      <c r="M18" s="209">
        <f>IF(SUM(F18:K18)&lt;2.5,2.5,SUM(F18:K18))</f>
        <v>21.943048459378865</v>
      </c>
      <c r="N18" s="207">
        <f>RANK(M18,$M$7:$M$19)</f>
        <v>10</v>
      </c>
      <c r="P18" s="128"/>
    </row>
    <row r="19" spans="1:16" s="125" customFormat="1" ht="20.25">
      <c r="A19" s="376">
        <v>17</v>
      </c>
      <c r="B19" s="376" t="s">
        <v>191</v>
      </c>
      <c r="C19"/>
      <c r="D19" s="375">
        <v>10595.13</v>
      </c>
      <c r="E19" s="216"/>
      <c r="F19" s="261">
        <f>-($C$24*D19)+$C$25</f>
        <v>19.999999999999996</v>
      </c>
      <c r="G19" s="48"/>
      <c r="H19"/>
      <c r="I19" s="385">
        <v>1</v>
      </c>
      <c r="J19" s="386">
        <v>4</v>
      </c>
      <c r="K19" s="386">
        <v>2</v>
      </c>
      <c r="L19" s="48"/>
      <c r="M19" s="209">
        <f>IF(SUM(F19:K19)&lt;2.5,2.5,SUM(F19:K19))</f>
        <v>26.999999999999996</v>
      </c>
      <c r="N19" s="207">
        <f>RANK(M19,$M$7:$M$19)</f>
        <v>8</v>
      </c>
    </row>
    <row r="20" spans="1:16" ht="15">
      <c r="B20" s="237"/>
      <c r="C20" s="52"/>
      <c r="D20" s="255"/>
      <c r="E20" s="6"/>
      <c r="N20" s="259"/>
    </row>
    <row r="21" spans="1:16" ht="15">
      <c r="B21" s="262" t="s">
        <v>105</v>
      </c>
      <c r="C21" s="52"/>
      <c r="D21" s="163"/>
      <c r="E21" s="6"/>
      <c r="M21" s="254" t="s">
        <v>125</v>
      </c>
    </row>
    <row r="22" spans="1:16">
      <c r="B22" s="115" t="s">
        <v>106</v>
      </c>
      <c r="C22" s="36"/>
      <c r="D22" s="47"/>
      <c r="E22" s="6"/>
    </row>
    <row r="23" spans="1:16">
      <c r="B23" s="115" t="s">
        <v>107</v>
      </c>
      <c r="C23" s="36"/>
      <c r="D23" s="47"/>
      <c r="E23" s="6"/>
    </row>
    <row r="24" spans="1:16">
      <c r="B24" s="115" t="s">
        <v>108</v>
      </c>
      <c r="C24" s="242">
        <f>20/(C27-C26)</f>
        <v>2.1797129753953993E-3</v>
      </c>
      <c r="D24" s="47"/>
      <c r="E24" s="6"/>
    </row>
    <row r="25" spans="1:16">
      <c r="B25" s="115" t="s">
        <v>109</v>
      </c>
      <c r="C25" s="36">
        <f>20+(C24*C26)</f>
        <v>43.094342337001052</v>
      </c>
      <c r="D25" s="47"/>
      <c r="E25" s="6"/>
    </row>
    <row r="26" spans="1:16">
      <c r="B26" s="115" t="s">
        <v>71</v>
      </c>
      <c r="C26" s="240">
        <f>MIN(D7:D19)</f>
        <v>10595.13</v>
      </c>
      <c r="D26" s="47"/>
      <c r="E26" s="6"/>
    </row>
    <row r="27" spans="1:16">
      <c r="B27" s="44" t="s">
        <v>110</v>
      </c>
      <c r="C27" s="241">
        <f>MAX(D7:D19)</f>
        <v>19770.650000000001</v>
      </c>
      <c r="D27" s="47"/>
      <c r="E27" s="6"/>
    </row>
    <row r="28" spans="1:16">
      <c r="B28" s="44" t="s">
        <v>111</v>
      </c>
      <c r="C28" s="239">
        <v>20</v>
      </c>
      <c r="D28" s="47"/>
      <c r="E28" s="6"/>
    </row>
    <row r="29" spans="1:16">
      <c r="B29" s="44"/>
      <c r="C29" s="36"/>
      <c r="D29" s="47"/>
      <c r="E29" s="6"/>
    </row>
    <row r="30" spans="1:16">
      <c r="B30" s="260" t="s">
        <v>122</v>
      </c>
      <c r="C30" s="36"/>
      <c r="D30" s="47"/>
      <c r="E30" s="6"/>
      <c r="I30" s="254" t="s">
        <v>121</v>
      </c>
    </row>
    <row r="31" spans="1:16">
      <c r="B31" s="45"/>
      <c r="C31" s="36"/>
      <c r="D31" s="47"/>
    </row>
    <row r="32" spans="1:16">
      <c r="B32" s="1"/>
      <c r="C32" s="24"/>
      <c r="D32" s="1"/>
    </row>
    <row r="33" spans="2:4">
      <c r="B33" s="1"/>
      <c r="C33" s="1"/>
      <c r="D33" s="1"/>
    </row>
    <row r="34" spans="2:4">
      <c r="B34" s="1"/>
      <c r="C34" s="1"/>
      <c r="D34" s="1"/>
    </row>
  </sheetData>
  <phoneticPr fontId="25" type="noConversion"/>
  <printOptions gridLines="1"/>
  <pageMargins left="0.75" right="0.75" top="1" bottom="1" header="0.5" footer="0.5"/>
  <pageSetup scale="63"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W37"/>
  <sheetViews>
    <sheetView zoomScaleNormal="100" workbookViewId="0"/>
  </sheetViews>
  <sheetFormatPr defaultColWidth="8.85546875" defaultRowHeight="12.75"/>
  <cols>
    <col min="2" max="2" width="53" customWidth="1"/>
    <col min="3" max="17" width="7.5703125" style="297" customWidth="1"/>
    <col min="18" max="18" width="10.5703125" style="3" bestFit="1" customWidth="1"/>
    <col min="19" max="19" width="7.42578125" style="3" customWidth="1"/>
    <col min="20" max="20" width="8.85546875" style="3" customWidth="1"/>
  </cols>
  <sheetData>
    <row r="1" spans="1:23" ht="18.75">
      <c r="B1" s="314" t="s">
        <v>201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"/>
      <c r="S1" s="30"/>
      <c r="T1" s="29"/>
    </row>
    <row r="2" spans="1:23" ht="20.25">
      <c r="B2" s="197" t="s">
        <v>42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5"/>
      <c r="N2" s="294"/>
      <c r="O2" s="296"/>
      <c r="P2" s="294"/>
      <c r="Q2" s="294"/>
      <c r="R2" s="39"/>
      <c r="S2" s="151"/>
      <c r="T2" s="39"/>
      <c r="U2" s="254"/>
    </row>
    <row r="3" spans="1:23" s="3" customFormat="1">
      <c r="B3" s="143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40" t="s">
        <v>67</v>
      </c>
      <c r="S3" s="40" t="s">
        <v>48</v>
      </c>
      <c r="T3" s="42" t="s">
        <v>27</v>
      </c>
      <c r="U3" s="278"/>
      <c r="V3" s="278"/>
      <c r="W3" s="279"/>
    </row>
    <row r="4" spans="1:23" ht="20.25">
      <c r="A4" s="376">
        <v>1</v>
      </c>
      <c r="B4" s="376" t="s">
        <v>179</v>
      </c>
      <c r="C4" s="388">
        <v>32</v>
      </c>
      <c r="D4" s="389">
        <v>32</v>
      </c>
      <c r="E4" s="389">
        <v>44</v>
      </c>
      <c r="F4" s="389">
        <v>46.5</v>
      </c>
      <c r="G4" s="389">
        <v>35</v>
      </c>
      <c r="H4" s="389">
        <v>32</v>
      </c>
      <c r="I4" s="389">
        <v>37</v>
      </c>
      <c r="J4" s="389">
        <v>45.5</v>
      </c>
      <c r="K4" s="389">
        <v>34.5</v>
      </c>
      <c r="L4" s="389">
        <v>37.5</v>
      </c>
      <c r="M4" s="389"/>
      <c r="N4" s="389"/>
      <c r="O4" s="389"/>
      <c r="P4" s="389"/>
      <c r="Q4" s="390"/>
      <c r="R4" s="462">
        <f>AVERAGE(C4:Q4)</f>
        <v>37.6</v>
      </c>
      <c r="S4" s="396">
        <f>IF(R4&lt;2.5,2.5,R4)</f>
        <v>37.6</v>
      </c>
      <c r="T4" s="392">
        <f t="shared" ref="T4:T16" si="0">RANK(S4,$S$4:$S$16)</f>
        <v>3</v>
      </c>
      <c r="U4" s="280"/>
      <c r="V4" s="280"/>
      <c r="W4" s="281"/>
    </row>
    <row r="5" spans="1:23" ht="20.25">
      <c r="A5" s="376">
        <v>2</v>
      </c>
      <c r="B5" s="376" t="s">
        <v>180</v>
      </c>
      <c r="C5" s="387">
        <v>33</v>
      </c>
      <c r="D5" s="391"/>
      <c r="E5" s="391">
        <v>38</v>
      </c>
      <c r="F5" s="391"/>
      <c r="G5" s="391">
        <v>36.5</v>
      </c>
      <c r="H5" s="391">
        <v>30.5</v>
      </c>
      <c r="I5" s="391">
        <v>39</v>
      </c>
      <c r="J5" s="391"/>
      <c r="K5" s="391">
        <v>32</v>
      </c>
      <c r="L5" s="391">
        <v>38</v>
      </c>
      <c r="M5" s="391">
        <v>39</v>
      </c>
      <c r="N5" s="391">
        <v>35.5</v>
      </c>
      <c r="O5" s="391">
        <v>38.5</v>
      </c>
      <c r="P5" s="391"/>
      <c r="Q5" s="390"/>
      <c r="R5" s="462">
        <f t="shared" ref="R5:R16" si="1">AVERAGE(C5:Q5)</f>
        <v>36</v>
      </c>
      <c r="S5" s="396">
        <f t="shared" ref="S5:S16" si="2">IF(R5&lt;2.5,2.5,R5)</f>
        <v>36</v>
      </c>
      <c r="T5" s="392">
        <f t="shared" si="0"/>
        <v>5</v>
      </c>
      <c r="U5" s="280"/>
      <c r="V5" s="280"/>
      <c r="W5" s="281"/>
    </row>
    <row r="6" spans="1:23" ht="20.25">
      <c r="A6" s="376">
        <v>3</v>
      </c>
      <c r="B6" s="376" t="s">
        <v>181</v>
      </c>
      <c r="C6" s="388">
        <v>37</v>
      </c>
      <c r="D6" s="391">
        <v>35</v>
      </c>
      <c r="E6" s="391"/>
      <c r="F6" s="391"/>
      <c r="G6" s="391">
        <v>27.5</v>
      </c>
      <c r="H6" s="391"/>
      <c r="I6" s="391">
        <v>36</v>
      </c>
      <c r="J6" s="391"/>
      <c r="K6" s="391">
        <v>33</v>
      </c>
      <c r="L6" s="391">
        <v>41.5</v>
      </c>
      <c r="M6" s="391">
        <v>36</v>
      </c>
      <c r="N6" s="391">
        <v>39.5</v>
      </c>
      <c r="O6" s="391">
        <v>44.5</v>
      </c>
      <c r="P6" s="391"/>
      <c r="Q6" s="390"/>
      <c r="R6" s="462">
        <f t="shared" si="1"/>
        <v>36.666666666666664</v>
      </c>
      <c r="S6" s="396">
        <f t="shared" si="2"/>
        <v>36.666666666666664</v>
      </c>
      <c r="T6" s="392">
        <f t="shared" si="0"/>
        <v>4</v>
      </c>
      <c r="U6" s="280"/>
      <c r="V6" s="280"/>
      <c r="W6" s="281"/>
    </row>
    <row r="7" spans="1:23" s="177" customFormat="1" ht="20.25">
      <c r="A7" s="376">
        <v>4</v>
      </c>
      <c r="B7" s="376" t="s">
        <v>182</v>
      </c>
      <c r="C7" s="388">
        <v>38</v>
      </c>
      <c r="D7" s="391"/>
      <c r="E7" s="391">
        <v>42</v>
      </c>
      <c r="F7" s="391">
        <v>44.5</v>
      </c>
      <c r="G7" s="391">
        <v>42</v>
      </c>
      <c r="H7" s="391">
        <v>45</v>
      </c>
      <c r="I7" s="391">
        <v>48.5</v>
      </c>
      <c r="J7" s="391">
        <v>44.5</v>
      </c>
      <c r="K7" s="391">
        <v>48</v>
      </c>
      <c r="L7" s="391">
        <v>47.5</v>
      </c>
      <c r="M7" s="391"/>
      <c r="N7" s="391">
        <v>47</v>
      </c>
      <c r="O7" s="391"/>
      <c r="P7" s="391"/>
      <c r="Q7" s="390"/>
      <c r="R7" s="462">
        <f t="shared" si="1"/>
        <v>44.7</v>
      </c>
      <c r="S7" s="396">
        <f t="shared" si="2"/>
        <v>44.7</v>
      </c>
      <c r="T7" s="392">
        <f t="shared" si="0"/>
        <v>1</v>
      </c>
      <c r="U7" s="280"/>
      <c r="V7" s="280"/>
      <c r="W7" s="281"/>
    </row>
    <row r="8" spans="1:23" ht="20.25">
      <c r="A8" s="376">
        <v>7</v>
      </c>
      <c r="B8" s="376" t="s">
        <v>183</v>
      </c>
      <c r="C8" s="388">
        <v>27</v>
      </c>
      <c r="D8" s="391">
        <v>39</v>
      </c>
      <c r="E8" s="391">
        <v>36</v>
      </c>
      <c r="F8" s="391"/>
      <c r="G8" s="391">
        <v>35.5</v>
      </c>
      <c r="H8" s="391">
        <v>24</v>
      </c>
      <c r="I8" s="391"/>
      <c r="J8" s="391">
        <v>41</v>
      </c>
      <c r="K8" s="391">
        <v>34</v>
      </c>
      <c r="L8" s="391"/>
      <c r="M8" s="391">
        <v>35</v>
      </c>
      <c r="N8" s="391">
        <v>35.5</v>
      </c>
      <c r="O8" s="391">
        <v>38</v>
      </c>
      <c r="P8" s="391"/>
      <c r="Q8" s="390"/>
      <c r="R8" s="462">
        <f t="shared" si="1"/>
        <v>34.5</v>
      </c>
      <c r="S8" s="396">
        <f t="shared" si="2"/>
        <v>34.5</v>
      </c>
      <c r="T8" s="392">
        <f t="shared" si="0"/>
        <v>9</v>
      </c>
      <c r="U8" s="280"/>
      <c r="V8" s="280"/>
      <c r="W8" s="281"/>
    </row>
    <row r="9" spans="1:23" ht="20.25">
      <c r="A9" s="376">
        <v>8</v>
      </c>
      <c r="B9" s="376" t="s">
        <v>184</v>
      </c>
      <c r="C9" s="388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91"/>
      <c r="P9" s="391"/>
      <c r="Q9" s="390"/>
      <c r="R9" s="462" t="s">
        <v>207</v>
      </c>
      <c r="S9" s="396">
        <v>0</v>
      </c>
      <c r="T9" s="392">
        <f t="shared" si="0"/>
        <v>12</v>
      </c>
      <c r="U9" s="280"/>
      <c r="V9" s="280"/>
      <c r="W9" s="281"/>
    </row>
    <row r="10" spans="1:23" ht="20.25">
      <c r="A10" s="376">
        <v>9</v>
      </c>
      <c r="B10" s="376" t="s">
        <v>185</v>
      </c>
      <c r="C10" s="388">
        <v>42</v>
      </c>
      <c r="D10" s="391"/>
      <c r="E10" s="391">
        <v>32</v>
      </c>
      <c r="F10" s="391"/>
      <c r="G10" s="391">
        <v>31.5</v>
      </c>
      <c r="H10" s="391"/>
      <c r="I10" s="387">
        <v>37</v>
      </c>
      <c r="J10" s="391">
        <v>32</v>
      </c>
      <c r="K10" s="391">
        <v>41</v>
      </c>
      <c r="L10" s="391"/>
      <c r="M10" s="391">
        <v>39</v>
      </c>
      <c r="N10" s="391">
        <v>33</v>
      </c>
      <c r="O10" s="391">
        <v>35.5</v>
      </c>
      <c r="P10" s="391"/>
      <c r="Q10" s="390"/>
      <c r="R10" s="462">
        <f t="shared" si="1"/>
        <v>35.888888888888886</v>
      </c>
      <c r="S10" s="396">
        <f t="shared" si="2"/>
        <v>35.888888888888886</v>
      </c>
      <c r="T10" s="392">
        <f t="shared" si="0"/>
        <v>6</v>
      </c>
      <c r="U10" s="280"/>
      <c r="V10" s="280"/>
      <c r="W10" s="281"/>
    </row>
    <row r="11" spans="1:23" ht="20.25">
      <c r="A11" s="376">
        <v>10</v>
      </c>
      <c r="B11" s="376" t="s">
        <v>186</v>
      </c>
      <c r="C11" s="388"/>
      <c r="D11" s="391"/>
      <c r="E11" s="391"/>
      <c r="F11" s="391"/>
      <c r="G11" s="391"/>
      <c r="H11" s="391"/>
      <c r="I11" s="391"/>
      <c r="J11" s="391"/>
      <c r="K11" s="391"/>
      <c r="L11" s="391"/>
      <c r="M11" s="391"/>
      <c r="N11" s="391"/>
      <c r="O11" s="391"/>
      <c r="P11" s="391"/>
      <c r="Q11" s="390"/>
      <c r="R11" s="462" t="s">
        <v>207</v>
      </c>
      <c r="S11" s="396">
        <v>0</v>
      </c>
      <c r="T11" s="392">
        <f t="shared" si="0"/>
        <v>12</v>
      </c>
      <c r="U11" s="280"/>
      <c r="V11" s="280"/>
      <c r="W11" s="281"/>
    </row>
    <row r="12" spans="1:23" ht="20.25">
      <c r="A12" s="376">
        <v>11</v>
      </c>
      <c r="B12" s="376" t="s">
        <v>187</v>
      </c>
      <c r="C12" s="388">
        <v>20.5</v>
      </c>
      <c r="D12" s="391"/>
      <c r="E12" s="391">
        <v>30</v>
      </c>
      <c r="F12" s="391"/>
      <c r="G12" s="391">
        <v>30</v>
      </c>
      <c r="H12" s="391">
        <v>29</v>
      </c>
      <c r="I12" s="391">
        <v>36</v>
      </c>
      <c r="J12" s="391">
        <v>32</v>
      </c>
      <c r="K12" s="391">
        <v>29</v>
      </c>
      <c r="L12" s="391">
        <v>36.5</v>
      </c>
      <c r="M12" s="391">
        <v>26</v>
      </c>
      <c r="N12" s="391">
        <v>36</v>
      </c>
      <c r="O12" s="391"/>
      <c r="P12" s="391"/>
      <c r="Q12" s="390"/>
      <c r="R12" s="462">
        <f t="shared" si="1"/>
        <v>30.5</v>
      </c>
      <c r="S12" s="396">
        <f t="shared" si="2"/>
        <v>30.5</v>
      </c>
      <c r="T12" s="392">
        <f t="shared" si="0"/>
        <v>11</v>
      </c>
      <c r="U12" s="280"/>
      <c r="V12" s="280"/>
      <c r="W12" s="281"/>
    </row>
    <row r="13" spans="1:23" ht="20.25">
      <c r="A13" s="376">
        <v>14</v>
      </c>
      <c r="B13" s="376" t="s">
        <v>188</v>
      </c>
      <c r="C13" s="388">
        <v>29</v>
      </c>
      <c r="D13" s="391">
        <v>35</v>
      </c>
      <c r="E13" s="391"/>
      <c r="F13" s="391">
        <v>29</v>
      </c>
      <c r="G13" s="391">
        <v>27</v>
      </c>
      <c r="H13" s="391">
        <v>37</v>
      </c>
      <c r="I13" s="391">
        <v>35</v>
      </c>
      <c r="J13" s="391">
        <v>41</v>
      </c>
      <c r="K13" s="391">
        <v>44</v>
      </c>
      <c r="L13" s="391">
        <v>30</v>
      </c>
      <c r="M13" s="391"/>
      <c r="N13" s="391">
        <v>36</v>
      </c>
      <c r="O13" s="391">
        <v>45.5</v>
      </c>
      <c r="P13" s="391"/>
      <c r="Q13" s="390"/>
      <c r="R13" s="462">
        <f t="shared" si="1"/>
        <v>35.31818181818182</v>
      </c>
      <c r="S13" s="396">
        <f t="shared" si="2"/>
        <v>35.31818181818182</v>
      </c>
      <c r="T13" s="392">
        <f t="shared" si="0"/>
        <v>7</v>
      </c>
      <c r="U13" s="280"/>
      <c r="V13" s="280"/>
      <c r="W13" s="281"/>
    </row>
    <row r="14" spans="1:23" ht="20.25">
      <c r="A14" s="376">
        <v>15</v>
      </c>
      <c r="B14" s="376" t="s">
        <v>189</v>
      </c>
      <c r="C14" s="388">
        <v>39</v>
      </c>
      <c r="D14" s="391"/>
      <c r="E14" s="391">
        <v>40</v>
      </c>
      <c r="F14" s="391"/>
      <c r="G14" s="391">
        <v>42</v>
      </c>
      <c r="H14" s="391">
        <v>43</v>
      </c>
      <c r="I14" s="391">
        <v>44</v>
      </c>
      <c r="J14" s="391">
        <v>40</v>
      </c>
      <c r="K14" s="391">
        <v>44</v>
      </c>
      <c r="L14" s="391">
        <v>47.5</v>
      </c>
      <c r="M14" s="391">
        <v>40</v>
      </c>
      <c r="N14" s="391">
        <v>46</v>
      </c>
      <c r="O14" s="391">
        <v>44</v>
      </c>
      <c r="P14" s="391"/>
      <c r="Q14" s="390"/>
      <c r="R14" s="462">
        <f t="shared" si="1"/>
        <v>42.68181818181818</v>
      </c>
      <c r="S14" s="396">
        <f t="shared" si="2"/>
        <v>42.68181818181818</v>
      </c>
      <c r="T14" s="392">
        <f t="shared" si="0"/>
        <v>2</v>
      </c>
      <c r="U14" s="280"/>
      <c r="V14" s="280"/>
      <c r="W14" s="281"/>
    </row>
    <row r="15" spans="1:23" ht="20.25">
      <c r="A15" s="376">
        <v>16</v>
      </c>
      <c r="B15" s="376" t="s">
        <v>190</v>
      </c>
      <c r="C15" s="388"/>
      <c r="D15" s="391"/>
      <c r="E15" s="391">
        <v>32</v>
      </c>
      <c r="F15" s="391"/>
      <c r="G15" s="391"/>
      <c r="H15" s="391"/>
      <c r="I15" s="391">
        <v>34</v>
      </c>
      <c r="J15" s="391">
        <v>31</v>
      </c>
      <c r="K15" s="391"/>
      <c r="L15" s="391">
        <v>47.5</v>
      </c>
      <c r="M15" s="391">
        <v>32</v>
      </c>
      <c r="N15" s="391"/>
      <c r="O15" s="391"/>
      <c r="P15" s="391"/>
      <c r="Q15" s="390"/>
      <c r="R15" s="462">
        <f t="shared" si="1"/>
        <v>35.299999999999997</v>
      </c>
      <c r="S15" s="396">
        <f t="shared" si="2"/>
        <v>35.299999999999997</v>
      </c>
      <c r="T15" s="392">
        <f t="shared" si="0"/>
        <v>8</v>
      </c>
      <c r="U15" s="280"/>
      <c r="V15" s="280"/>
      <c r="W15" s="281"/>
    </row>
    <row r="16" spans="1:23" ht="20.25">
      <c r="A16" s="376">
        <v>17</v>
      </c>
      <c r="B16" s="376" t="s">
        <v>191</v>
      </c>
      <c r="C16" s="388">
        <v>33</v>
      </c>
      <c r="D16" s="391">
        <v>33</v>
      </c>
      <c r="E16" s="391">
        <v>35</v>
      </c>
      <c r="F16" s="391"/>
      <c r="G16" s="391">
        <v>28.5</v>
      </c>
      <c r="H16" s="391">
        <v>30.5</v>
      </c>
      <c r="I16" s="391"/>
      <c r="J16" s="391">
        <v>38.5</v>
      </c>
      <c r="K16" s="391">
        <v>37.5</v>
      </c>
      <c r="L16" s="391">
        <v>30</v>
      </c>
      <c r="M16" s="391">
        <v>32</v>
      </c>
      <c r="N16" s="391">
        <v>29</v>
      </c>
      <c r="O16" s="391">
        <v>39</v>
      </c>
      <c r="P16" s="391"/>
      <c r="Q16" s="390"/>
      <c r="R16" s="462">
        <f t="shared" si="1"/>
        <v>33.272727272727273</v>
      </c>
      <c r="S16" s="396">
        <f t="shared" si="2"/>
        <v>33.272727272727273</v>
      </c>
      <c r="T16" s="392">
        <f t="shared" si="0"/>
        <v>10</v>
      </c>
    </row>
    <row r="17" spans="3:20"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293"/>
      <c r="N17" s="293"/>
      <c r="O17" s="293"/>
      <c r="P17" s="293"/>
      <c r="Q17" s="293"/>
      <c r="R17" s="38"/>
      <c r="S17" s="38"/>
      <c r="T17" s="38"/>
    </row>
    <row r="18" spans="3:20" ht="12.75" customHeight="1"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254" t="s">
        <v>124</v>
      </c>
    </row>
    <row r="19" spans="3:20" ht="12.75" customHeight="1">
      <c r="C19" s="524"/>
      <c r="D19" s="524"/>
      <c r="E19" s="524"/>
      <c r="F19" s="524"/>
      <c r="G19" s="524"/>
      <c r="H19" s="524"/>
      <c r="I19" s="524"/>
      <c r="J19" s="524"/>
      <c r="K19" s="524"/>
      <c r="L19" s="524"/>
      <c r="M19" s="524"/>
      <c r="N19" s="524"/>
      <c r="O19" s="524"/>
      <c r="P19" s="524"/>
    </row>
    <row r="20" spans="3:20" ht="12.75" customHeight="1">
      <c r="C20" s="524"/>
      <c r="D20" s="524"/>
      <c r="E20" s="524"/>
      <c r="F20" s="524"/>
      <c r="G20" s="524"/>
      <c r="H20" s="524"/>
      <c r="I20" s="524"/>
      <c r="J20" s="524"/>
      <c r="K20" s="524"/>
      <c r="L20" s="524"/>
      <c r="M20" s="524"/>
      <c r="N20" s="524"/>
      <c r="O20" s="524"/>
      <c r="P20" s="524"/>
    </row>
    <row r="21" spans="3:20" ht="12.75" customHeight="1"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</row>
    <row r="22" spans="3:20" ht="12.75" customHeight="1">
      <c r="C22" s="524"/>
      <c r="D22" s="524"/>
      <c r="E22" s="524"/>
      <c r="F22" s="524"/>
      <c r="G22" s="524"/>
      <c r="H22" s="524"/>
      <c r="I22" s="524"/>
      <c r="J22" s="524"/>
      <c r="K22" s="524"/>
      <c r="L22" s="524"/>
      <c r="M22" s="524"/>
      <c r="N22" s="524"/>
      <c r="O22" s="524"/>
      <c r="P22" s="524"/>
    </row>
    <row r="29" spans="3:20">
      <c r="C29" s="298"/>
      <c r="D29" s="298"/>
      <c r="E29" s="298"/>
      <c r="F29" s="298"/>
      <c r="G29" s="298"/>
      <c r="H29" s="298"/>
      <c r="I29" s="298"/>
      <c r="J29" s="298"/>
      <c r="K29" s="298"/>
      <c r="L29" s="298"/>
    </row>
    <row r="37" spans="3:12">
      <c r="C37" s="298"/>
      <c r="D37" s="298"/>
      <c r="E37" s="298"/>
      <c r="F37" s="298"/>
      <c r="G37" s="298"/>
      <c r="H37" s="298"/>
      <c r="I37" s="298"/>
      <c r="J37" s="298"/>
      <c r="K37" s="298"/>
      <c r="L37" s="298"/>
    </row>
  </sheetData>
  <mergeCells count="14">
    <mergeCell ref="O18:O22"/>
    <mergeCell ref="P18:P22"/>
    <mergeCell ref="I18:I22"/>
    <mergeCell ref="J18:J22"/>
    <mergeCell ref="K18:K22"/>
    <mergeCell ref="L18:L22"/>
    <mergeCell ref="M18:M22"/>
    <mergeCell ref="N18:N22"/>
    <mergeCell ref="H18:H22"/>
    <mergeCell ref="C18:C22"/>
    <mergeCell ref="D18:D22"/>
    <mergeCell ref="E18:E22"/>
    <mergeCell ref="F18:F22"/>
    <mergeCell ref="G18:G22"/>
  </mergeCells>
  <phoneticPr fontId="25" type="noConversion"/>
  <printOptions gridLines="1"/>
  <pageMargins left="0.75" right="0.75" top="1" bottom="1" header="0.5" footer="0.5"/>
  <pageSetup scale="55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24"/>
  <sheetViews>
    <sheetView topLeftCell="B1" zoomScaleNormal="100" workbookViewId="0"/>
  </sheetViews>
  <sheetFormatPr defaultColWidth="8.85546875" defaultRowHeight="12.75"/>
  <cols>
    <col min="2" max="2" width="59.85546875" customWidth="1"/>
    <col min="3" max="3" width="15.42578125" customWidth="1"/>
    <col min="4" max="4" width="13.85546875" style="48" bestFit="1" customWidth="1"/>
    <col min="5" max="5" width="10.140625" customWidth="1"/>
    <col min="6" max="6" width="12.42578125" customWidth="1"/>
    <col min="7" max="7" width="17" customWidth="1"/>
    <col min="8" max="8" width="10.85546875" style="37" customWidth="1"/>
    <col min="9" max="9" width="35.42578125" style="3" customWidth="1"/>
    <col min="10" max="10" width="41.85546875" customWidth="1"/>
  </cols>
  <sheetData>
    <row r="1" spans="1:17" ht="45">
      <c r="B1" s="7" t="s">
        <v>200</v>
      </c>
      <c r="F1" s="162"/>
      <c r="G1" s="162"/>
    </row>
    <row r="2" spans="1:17" ht="18.75">
      <c r="B2" s="7"/>
      <c r="C2" s="7"/>
      <c r="D2" s="327"/>
      <c r="E2" s="6" t="s">
        <v>0</v>
      </c>
      <c r="F2" s="113">
        <f>MAX(E10:E22)</f>
        <v>21.515892420537899</v>
      </c>
      <c r="G2" s="6" t="s">
        <v>11</v>
      </c>
      <c r="H2" s="302" t="s">
        <v>208</v>
      </c>
      <c r="J2" s="57"/>
    </row>
    <row r="3" spans="1:17">
      <c r="B3" s="6"/>
      <c r="C3" s="6"/>
      <c r="D3" s="328"/>
      <c r="E3" s="6" t="s">
        <v>1</v>
      </c>
      <c r="F3" s="113">
        <f>MIN(E10:E22)</f>
        <v>14.965986394557824</v>
      </c>
      <c r="G3" s="6" t="s">
        <v>11</v>
      </c>
      <c r="H3" s="302" t="s">
        <v>209</v>
      </c>
      <c r="J3" s="57"/>
    </row>
    <row r="4" spans="1:17">
      <c r="B4" s="10"/>
      <c r="C4" s="10"/>
      <c r="D4" s="329"/>
      <c r="E4" s="6" t="s">
        <v>13</v>
      </c>
      <c r="F4" s="203">
        <v>88</v>
      </c>
      <c r="G4" s="6" t="s">
        <v>12</v>
      </c>
      <c r="H4" s="302" t="s">
        <v>28</v>
      </c>
      <c r="J4" s="57"/>
    </row>
    <row r="5" spans="1:17">
      <c r="B5" s="10"/>
      <c r="C5" s="10"/>
      <c r="D5" s="329"/>
      <c r="E5" s="6" t="s">
        <v>112</v>
      </c>
      <c r="F5" s="203"/>
      <c r="G5" s="6"/>
      <c r="H5" s="302"/>
      <c r="J5" s="57"/>
    </row>
    <row r="6" spans="1:17">
      <c r="B6" s="10"/>
      <c r="C6" s="10"/>
      <c r="D6" s="329"/>
      <c r="E6" s="6" t="s">
        <v>113</v>
      </c>
      <c r="F6" s="203">
        <f>100/(F2-F3)</f>
        <v>15.267394616556626</v>
      </c>
      <c r="G6" s="6"/>
      <c r="H6" s="302"/>
      <c r="J6" s="57"/>
    </row>
    <row r="7" spans="1:17">
      <c r="B7" s="10"/>
      <c r="C7" s="10"/>
      <c r="D7" s="329"/>
      <c r="E7" s="6" t="s">
        <v>114</v>
      </c>
      <c r="F7" s="203">
        <f>-(F6*F3)</f>
        <v>-228.49162011173183</v>
      </c>
      <c r="G7" s="6"/>
      <c r="H7" s="302"/>
      <c r="J7" s="57"/>
    </row>
    <row r="8" spans="1:17" ht="3" customHeight="1">
      <c r="B8" s="12"/>
      <c r="C8" s="12"/>
      <c r="D8" s="330"/>
      <c r="E8" s="12"/>
      <c r="F8" s="6"/>
      <c r="G8" s="6"/>
      <c r="I8" s="18"/>
      <c r="J8" s="58"/>
      <c r="K8" s="58"/>
    </row>
    <row r="9" spans="1:17" ht="54" customHeight="1">
      <c r="B9" s="11"/>
      <c r="C9" s="35" t="s">
        <v>210</v>
      </c>
      <c r="D9" s="331" t="s">
        <v>47</v>
      </c>
      <c r="E9" s="35" t="s">
        <v>10</v>
      </c>
      <c r="F9" s="32" t="s">
        <v>117</v>
      </c>
      <c r="G9" s="32" t="s">
        <v>27</v>
      </c>
      <c r="H9" s="139" t="s">
        <v>62</v>
      </c>
      <c r="I9" s="2" t="s">
        <v>127</v>
      </c>
      <c r="J9" s="35"/>
      <c r="K9" s="32"/>
      <c r="M9" s="138" t="s">
        <v>42</v>
      </c>
    </row>
    <row r="10" spans="1:17" ht="20.25">
      <c r="A10" s="457">
        <v>1</v>
      </c>
      <c r="B10" s="376" t="s">
        <v>179</v>
      </c>
      <c r="C10" s="276" t="s">
        <v>160</v>
      </c>
      <c r="D10" s="371">
        <v>4.3183691344533655</v>
      </c>
      <c r="E10" s="372">
        <f>$F$4/D10</f>
        <v>20.378063398496238</v>
      </c>
      <c r="F10" s="463">
        <f>100+($F$6*E10)+$F$7</f>
        <v>182.62831531431925</v>
      </c>
      <c r="G10" s="373">
        <f>RANK(F10,$F$10:$F$22)</f>
        <v>2</v>
      </c>
      <c r="H10" s="255">
        <v>88</v>
      </c>
      <c r="I10" s="198"/>
      <c r="J10" s="303"/>
      <c r="K10" s="6"/>
      <c r="M10" s="48" t="s">
        <v>42</v>
      </c>
      <c r="N10" s="59"/>
      <c r="O10" s="59"/>
      <c r="P10" s="59"/>
      <c r="Q10" s="59"/>
    </row>
    <row r="11" spans="1:17" ht="20.25">
      <c r="A11" s="457">
        <v>2</v>
      </c>
      <c r="B11" s="376" t="s">
        <v>180</v>
      </c>
      <c r="C11" s="276" t="s">
        <v>160</v>
      </c>
      <c r="D11" s="371" t="s">
        <v>148</v>
      </c>
      <c r="E11" s="372"/>
      <c r="F11" s="463">
        <v>0</v>
      </c>
      <c r="G11" s="373" t="s">
        <v>42</v>
      </c>
      <c r="H11" s="255">
        <v>40</v>
      </c>
      <c r="I11" s="198" t="s">
        <v>238</v>
      </c>
      <c r="J11" s="303"/>
      <c r="K11" s="6"/>
      <c r="M11" s="48"/>
      <c r="N11" s="59"/>
      <c r="O11" s="59"/>
      <c r="P11" s="59"/>
      <c r="Q11" s="59"/>
    </row>
    <row r="12" spans="1:17" ht="20.25">
      <c r="A12" s="457">
        <v>3</v>
      </c>
      <c r="B12" s="376" t="s">
        <v>181</v>
      </c>
      <c r="C12" s="276" t="s">
        <v>160</v>
      </c>
      <c r="D12" s="371">
        <v>5.844409354899291</v>
      </c>
      <c r="E12" s="372">
        <f t="shared" ref="E12:E22" si="0">$F$4/D12</f>
        <v>15.05712462222222</v>
      </c>
      <c r="F12" s="463">
        <f t="shared" ref="F12:F22" si="1">100+($F$6*E12)+$F$7</f>
        <v>101.39144328640594</v>
      </c>
      <c r="G12" s="373">
        <f t="shared" ref="G12:G22" si="2">RANK(F12,$F$10:$F$22)</f>
        <v>7</v>
      </c>
      <c r="H12" s="255">
        <v>88</v>
      </c>
      <c r="I12" s="255"/>
      <c r="J12" s="303"/>
      <c r="K12" s="6"/>
      <c r="M12" s="48"/>
      <c r="N12" s="59"/>
      <c r="O12" s="59"/>
      <c r="P12" s="59"/>
      <c r="Q12" s="59"/>
    </row>
    <row r="13" spans="1:17" s="177" customFormat="1" ht="20.25">
      <c r="A13" s="457">
        <v>4</v>
      </c>
      <c r="B13" s="376" t="s">
        <v>182</v>
      </c>
      <c r="C13" s="276" t="s">
        <v>160</v>
      </c>
      <c r="D13" s="371">
        <v>4.9515134812341213</v>
      </c>
      <c r="E13" s="372">
        <f t="shared" si="0"/>
        <v>17.772343816393441</v>
      </c>
      <c r="F13" s="463">
        <f t="shared" si="1"/>
        <v>142.84576619426684</v>
      </c>
      <c r="G13" s="373" t="s">
        <v>42</v>
      </c>
      <c r="H13" s="255">
        <v>88</v>
      </c>
      <c r="I13" s="198"/>
      <c r="J13" s="303"/>
      <c r="K13" s="180"/>
      <c r="M13" s="179"/>
    </row>
    <row r="14" spans="1:17" s="177" customFormat="1" ht="20.25">
      <c r="A14" s="457">
        <v>7</v>
      </c>
      <c r="B14" s="376" t="s">
        <v>183</v>
      </c>
      <c r="C14" s="276" t="s">
        <v>160</v>
      </c>
      <c r="D14" s="371">
        <v>5.1787960672579834</v>
      </c>
      <c r="E14" s="372">
        <f t="shared" si="0"/>
        <v>16.992366344827584</v>
      </c>
      <c r="F14" s="463">
        <f t="shared" si="1"/>
        <v>130.93754234384681</v>
      </c>
      <c r="G14" s="373">
        <f t="shared" si="2"/>
        <v>4</v>
      </c>
      <c r="H14" s="255">
        <v>88</v>
      </c>
      <c r="I14" s="255"/>
      <c r="J14" s="303"/>
      <c r="K14" s="180"/>
      <c r="M14" s="179" t="s">
        <v>42</v>
      </c>
    </row>
    <row r="15" spans="1:17" ht="20.25">
      <c r="A15" s="457">
        <v>8</v>
      </c>
      <c r="B15" s="376" t="s">
        <v>184</v>
      </c>
      <c r="C15" s="276" t="s">
        <v>160</v>
      </c>
      <c r="D15" s="371" t="s">
        <v>148</v>
      </c>
      <c r="E15" s="372"/>
      <c r="F15" s="463">
        <v>0</v>
      </c>
      <c r="G15" s="373" t="s">
        <v>42</v>
      </c>
      <c r="H15" s="255">
        <v>40</v>
      </c>
      <c r="I15" s="198" t="s">
        <v>239</v>
      </c>
      <c r="J15" s="303"/>
      <c r="K15" s="6"/>
      <c r="M15" s="48"/>
      <c r="N15" s="59"/>
      <c r="O15" s="59"/>
      <c r="P15" s="59"/>
      <c r="Q15" s="59"/>
    </row>
    <row r="16" spans="1:17" ht="18.600000000000001" customHeight="1">
      <c r="A16" s="457">
        <v>9</v>
      </c>
      <c r="B16" s="376" t="s">
        <v>185</v>
      </c>
      <c r="C16" s="276" t="s">
        <v>160</v>
      </c>
      <c r="D16" s="371" t="s">
        <v>207</v>
      </c>
      <c r="E16" s="372"/>
      <c r="F16" s="463">
        <v>0</v>
      </c>
      <c r="G16" s="373" t="s">
        <v>42</v>
      </c>
      <c r="H16" s="255">
        <v>0</v>
      </c>
      <c r="I16" s="198" t="s">
        <v>240</v>
      </c>
      <c r="J16" s="303"/>
      <c r="K16" s="6"/>
      <c r="M16" s="48" t="s">
        <v>42</v>
      </c>
      <c r="N16" s="59"/>
      <c r="O16" s="59"/>
      <c r="P16" s="59"/>
      <c r="Q16" s="59"/>
    </row>
    <row r="17" spans="1:17" ht="20.25">
      <c r="A17" s="457">
        <v>10</v>
      </c>
      <c r="B17" s="376" t="s">
        <v>186</v>
      </c>
      <c r="C17" s="276" t="s">
        <v>160</v>
      </c>
      <c r="D17" s="371" t="s">
        <v>207</v>
      </c>
      <c r="E17" s="372"/>
      <c r="F17" s="463">
        <v>0</v>
      </c>
      <c r="G17" s="373" t="s">
        <v>42</v>
      </c>
      <c r="H17" s="255">
        <v>0</v>
      </c>
      <c r="I17" s="198" t="s">
        <v>211</v>
      </c>
      <c r="J17" s="303"/>
      <c r="K17" s="6"/>
      <c r="N17" s="59"/>
      <c r="O17" s="59"/>
      <c r="P17" s="59"/>
      <c r="Q17" s="59"/>
    </row>
    <row r="18" spans="1:17" ht="20.25">
      <c r="A18" s="457">
        <v>11</v>
      </c>
      <c r="B18" s="376" t="s">
        <v>187</v>
      </c>
      <c r="C18" s="276" t="s">
        <v>160</v>
      </c>
      <c r="D18" s="371" t="s">
        <v>148</v>
      </c>
      <c r="E18" s="372"/>
      <c r="F18" s="463">
        <v>0</v>
      </c>
      <c r="G18" s="373" t="s">
        <v>42</v>
      </c>
      <c r="H18" s="255">
        <v>45</v>
      </c>
      <c r="I18" s="198" t="s">
        <v>247</v>
      </c>
      <c r="J18" s="303"/>
      <c r="K18" s="6"/>
      <c r="N18" s="59"/>
      <c r="O18" s="59"/>
      <c r="P18" s="59"/>
      <c r="Q18" s="59"/>
    </row>
    <row r="19" spans="1:17" s="140" customFormat="1" ht="20.25">
      <c r="A19" s="457">
        <v>14</v>
      </c>
      <c r="B19" s="376" t="s">
        <v>188</v>
      </c>
      <c r="C19" s="276" t="s">
        <v>160</v>
      </c>
      <c r="D19" s="371">
        <v>5.41</v>
      </c>
      <c r="E19" s="372">
        <f t="shared" si="0"/>
        <v>16.266173752310536</v>
      </c>
      <c r="F19" s="463">
        <f t="shared" si="1"/>
        <v>119.85047346626874</v>
      </c>
      <c r="G19" s="373">
        <f t="shared" si="2"/>
        <v>5</v>
      </c>
      <c r="H19" s="255">
        <v>88</v>
      </c>
      <c r="I19" s="198"/>
      <c r="J19" s="303"/>
      <c r="K19" s="141"/>
    </row>
    <row r="20" spans="1:17" s="140" customFormat="1" ht="20.25">
      <c r="A20" s="457">
        <v>15</v>
      </c>
      <c r="B20" s="376" t="s">
        <v>189</v>
      </c>
      <c r="C20" s="276" t="s">
        <v>160</v>
      </c>
      <c r="D20" s="371">
        <v>5.68</v>
      </c>
      <c r="E20" s="372">
        <f t="shared" si="0"/>
        <v>15.492957746478874</v>
      </c>
      <c r="F20" s="463">
        <f t="shared" si="1"/>
        <v>108.04547958139898</v>
      </c>
      <c r="G20" s="373">
        <f t="shared" si="2"/>
        <v>6</v>
      </c>
      <c r="H20" s="255">
        <v>88</v>
      </c>
      <c r="I20" s="198"/>
      <c r="K20" s="141"/>
    </row>
    <row r="21" spans="1:17" s="140" customFormat="1" ht="20.25">
      <c r="A21" s="457">
        <v>16</v>
      </c>
      <c r="B21" s="376" t="s">
        <v>190</v>
      </c>
      <c r="C21" s="276" t="s">
        <v>160</v>
      </c>
      <c r="D21" s="371">
        <v>5.88</v>
      </c>
      <c r="E21" s="372">
        <f t="shared" si="0"/>
        <v>14.965986394557824</v>
      </c>
      <c r="F21" s="463">
        <f t="shared" si="1"/>
        <v>100</v>
      </c>
      <c r="G21" s="373">
        <f t="shared" si="2"/>
        <v>8</v>
      </c>
      <c r="H21" s="255">
        <v>88</v>
      </c>
      <c r="I21" s="198"/>
      <c r="J21" s="303"/>
      <c r="K21" s="141"/>
    </row>
    <row r="22" spans="1:17" ht="20.25">
      <c r="A22" s="457">
        <v>17</v>
      </c>
      <c r="B22" s="376" t="s">
        <v>191</v>
      </c>
      <c r="C22" s="276" t="s">
        <v>160</v>
      </c>
      <c r="D22" s="371">
        <v>4.09</v>
      </c>
      <c r="E22" s="372">
        <f t="shared" si="0"/>
        <v>21.515892420537899</v>
      </c>
      <c r="F22" s="463">
        <f t="shared" si="1"/>
        <v>200</v>
      </c>
      <c r="G22" s="373">
        <f t="shared" si="2"/>
        <v>1</v>
      </c>
      <c r="H22" s="255">
        <v>88</v>
      </c>
      <c r="I22" s="198"/>
      <c r="J22" s="303"/>
    </row>
    <row r="23" spans="1:17">
      <c r="B23" s="6"/>
      <c r="C23" s="6"/>
      <c r="D23" s="222"/>
      <c r="E23" s="255"/>
      <c r="H23" s="3"/>
      <c r="I23" s="18"/>
    </row>
    <row r="24" spans="1:17">
      <c r="C24" s="263"/>
      <c r="D24" s="222"/>
      <c r="E24" s="3"/>
      <c r="F24" s="319"/>
      <c r="H24" s="3"/>
    </row>
  </sheetData>
  <phoneticPr fontId="25" type="noConversion"/>
  <printOptions gridLines="1"/>
  <pageMargins left="0.75" right="0.75" top="1" bottom="1" header="0.5" footer="0.5"/>
  <pageSetup scale="6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53"/>
  <sheetViews>
    <sheetView zoomScaleNormal="100" workbookViewId="0"/>
  </sheetViews>
  <sheetFormatPr defaultColWidth="8.85546875" defaultRowHeight="12.75"/>
  <cols>
    <col min="2" max="2" width="55.42578125" customWidth="1"/>
    <col min="3" max="3" width="11" style="48" customWidth="1"/>
    <col min="4" max="4" width="18.42578125" style="59" customWidth="1"/>
    <col min="5" max="5" width="15.140625" customWidth="1"/>
    <col min="6" max="6" width="16.85546875" customWidth="1"/>
    <col min="7" max="7" width="16" style="177" customWidth="1"/>
    <col min="8" max="8" width="15.85546875" customWidth="1"/>
    <col min="9" max="9" width="11.42578125" customWidth="1"/>
    <col min="10" max="10" width="12.42578125" customWidth="1"/>
    <col min="11" max="11" width="10.42578125" customWidth="1"/>
    <col min="12" max="12" width="13.5703125" customWidth="1"/>
    <col min="13" max="13" width="13.42578125" customWidth="1"/>
    <col min="14" max="14" width="12.42578125" customWidth="1"/>
    <col min="15" max="15" width="14.42578125" customWidth="1"/>
    <col min="16" max="16" width="12.5703125" customWidth="1"/>
    <col min="17" max="17" width="12.42578125" customWidth="1"/>
    <col min="18" max="18" width="11" customWidth="1"/>
  </cols>
  <sheetData>
    <row r="1" spans="1:17" ht="18.75">
      <c r="B1" s="7" t="s">
        <v>199</v>
      </c>
      <c r="C1" s="338"/>
      <c r="D1" s="34"/>
      <c r="E1" s="6"/>
      <c r="F1" s="19"/>
      <c r="G1" s="307" t="s">
        <v>115</v>
      </c>
      <c r="H1" s="202"/>
      <c r="I1" s="9"/>
      <c r="J1" s="6"/>
      <c r="K1" s="6"/>
      <c r="L1" s="6"/>
      <c r="M1" s="6"/>
      <c r="N1" s="6"/>
      <c r="O1" s="6"/>
      <c r="P1" s="6"/>
      <c r="Q1" s="6"/>
    </row>
    <row r="2" spans="1:17" s="59" customFormat="1">
      <c r="B2" s="34"/>
      <c r="C2" s="329"/>
      <c r="D2" s="17"/>
      <c r="E2" s="9"/>
      <c r="F2" s="19"/>
      <c r="G2" s="307" t="s">
        <v>102</v>
      </c>
      <c r="H2" s="202"/>
      <c r="I2" s="60"/>
      <c r="J2" s="34"/>
      <c r="K2" s="34"/>
      <c r="L2" s="34"/>
      <c r="M2" s="34"/>
      <c r="N2" s="34"/>
      <c r="O2" s="34"/>
      <c r="P2" s="34"/>
      <c r="Q2" s="34"/>
    </row>
    <row r="3" spans="1:17" ht="25.5">
      <c r="B3" s="321" t="s">
        <v>162</v>
      </c>
      <c r="C3" s="307"/>
      <c r="D3" s="305" t="s">
        <v>136</v>
      </c>
      <c r="E3" s="50"/>
      <c r="F3" s="2" t="s">
        <v>34</v>
      </c>
      <c r="G3" s="2" t="s">
        <v>69</v>
      </c>
      <c r="H3" s="2" t="s">
        <v>70</v>
      </c>
      <c r="I3" s="12"/>
      <c r="J3" s="6"/>
      <c r="K3" s="6"/>
      <c r="L3" s="6"/>
      <c r="M3" s="6"/>
      <c r="N3" s="6"/>
      <c r="O3" s="6"/>
      <c r="P3" s="6"/>
      <c r="Q3" s="6"/>
    </row>
    <row r="4" spans="1:17">
      <c r="B4" s="6"/>
      <c r="C4" s="339" t="s">
        <v>161</v>
      </c>
      <c r="D4" s="2" t="s">
        <v>48</v>
      </c>
      <c r="E4" s="23"/>
      <c r="F4" s="394" t="s">
        <v>72</v>
      </c>
      <c r="G4" s="2" t="s">
        <v>9</v>
      </c>
      <c r="H4" s="308" t="s">
        <v>48</v>
      </c>
      <c r="I4" s="23" t="s">
        <v>27</v>
      </c>
      <c r="J4" s="23"/>
      <c r="K4" s="20"/>
      <c r="L4" s="20"/>
      <c r="M4" s="5"/>
      <c r="N4" s="5"/>
      <c r="O4" s="5"/>
      <c r="P4" s="5"/>
      <c r="Q4" s="2"/>
    </row>
    <row r="5" spans="1:17" ht="20.25">
      <c r="A5" s="457">
        <v>1</v>
      </c>
      <c r="B5" s="376" t="s">
        <v>179</v>
      </c>
      <c r="C5" s="458">
        <v>66</v>
      </c>
      <c r="D5" s="306">
        <f>10^(($C$27-C5)/10)*150</f>
        <v>150</v>
      </c>
      <c r="E5" s="52"/>
      <c r="F5" s="395">
        <v>1</v>
      </c>
      <c r="G5" s="460">
        <f>-($F$20*F5)+$F$21</f>
        <v>150</v>
      </c>
      <c r="H5" s="307">
        <f>+D5+G5</f>
        <v>300</v>
      </c>
      <c r="I5" s="53">
        <f>RANK(H5, $H$5:$H$17)</f>
        <v>1</v>
      </c>
      <c r="J5" s="28"/>
      <c r="K5" s="18"/>
      <c r="L5" s="52"/>
      <c r="M5" s="18"/>
      <c r="N5" s="18"/>
      <c r="O5" s="3"/>
    </row>
    <row r="6" spans="1:17" ht="20.25">
      <c r="A6" s="376">
        <v>2</v>
      </c>
      <c r="B6" s="376" t="s">
        <v>180</v>
      </c>
      <c r="C6" s="459">
        <v>74</v>
      </c>
      <c r="D6" s="306">
        <v>7.5</v>
      </c>
      <c r="E6" s="52"/>
      <c r="F6" s="395">
        <v>7</v>
      </c>
      <c r="G6" s="460">
        <f t="shared" ref="G6:G17" si="0">-($F$20*F6)+$F$21</f>
        <v>21.428571428571416</v>
      </c>
      <c r="H6" s="307">
        <f t="shared" ref="H6:H17" si="1">+D6+G6</f>
        <v>28.928571428571416</v>
      </c>
      <c r="I6" s="53">
        <f t="shared" ref="I6:I17" si="2">RANK(H6, $H$5:$H$17)</f>
        <v>7</v>
      </c>
      <c r="J6" s="28"/>
      <c r="K6" s="18"/>
      <c r="L6" s="52"/>
      <c r="M6" s="18"/>
      <c r="N6" s="18"/>
      <c r="O6" s="3"/>
    </row>
    <row r="7" spans="1:17" ht="20.25">
      <c r="A7" s="457">
        <v>3</v>
      </c>
      <c r="B7" s="376" t="s">
        <v>181</v>
      </c>
      <c r="C7" s="459">
        <v>71</v>
      </c>
      <c r="D7" s="306">
        <f t="shared" ref="D7:D17" si="3">10^(($C$27-C7)/10)*150</f>
        <v>47.434164902525694</v>
      </c>
      <c r="E7" s="52"/>
      <c r="F7" s="395">
        <v>2</v>
      </c>
      <c r="G7" s="460">
        <f t="shared" si="0"/>
        <v>128.57142857142856</v>
      </c>
      <c r="H7" s="307">
        <f t="shared" si="1"/>
        <v>176.00559347395426</v>
      </c>
      <c r="I7" s="53">
        <f t="shared" si="2"/>
        <v>3</v>
      </c>
      <c r="J7" s="28"/>
      <c r="K7" s="18"/>
      <c r="L7" s="52"/>
      <c r="M7" s="18"/>
      <c r="N7" s="18"/>
      <c r="O7" s="3"/>
    </row>
    <row r="8" spans="1:17" s="146" customFormat="1" ht="20.25">
      <c r="A8" s="376">
        <v>4</v>
      </c>
      <c r="B8" s="376" t="s">
        <v>182</v>
      </c>
      <c r="C8" s="459">
        <v>74</v>
      </c>
      <c r="D8" s="306">
        <v>7.5</v>
      </c>
      <c r="E8" s="52"/>
      <c r="F8" s="395">
        <v>8</v>
      </c>
      <c r="G8" s="460">
        <f t="shared" si="0"/>
        <v>0</v>
      </c>
      <c r="H8" s="307">
        <f t="shared" si="1"/>
        <v>7.5</v>
      </c>
      <c r="I8" s="53">
        <f t="shared" si="2"/>
        <v>9</v>
      </c>
      <c r="J8" s="206"/>
      <c r="K8" s="213"/>
      <c r="L8" s="52"/>
      <c r="M8" s="213"/>
      <c r="N8" s="213"/>
      <c r="O8" s="194"/>
    </row>
    <row r="9" spans="1:17" s="146" customFormat="1" ht="20.25">
      <c r="A9" s="376">
        <v>7</v>
      </c>
      <c r="B9" s="376" t="s">
        <v>183</v>
      </c>
      <c r="C9" s="459">
        <v>73</v>
      </c>
      <c r="D9" s="306">
        <f t="shared" si="3"/>
        <v>29.928934724533192</v>
      </c>
      <c r="E9" s="52"/>
      <c r="F9" s="395">
        <v>6</v>
      </c>
      <c r="G9" s="460">
        <f t="shared" si="0"/>
        <v>42.857142857142861</v>
      </c>
      <c r="H9" s="307">
        <f t="shared" si="1"/>
        <v>72.786077581676054</v>
      </c>
      <c r="I9" s="53">
        <f t="shared" si="2"/>
        <v>5</v>
      </c>
      <c r="J9" s="206"/>
      <c r="K9" s="213"/>
      <c r="L9" s="52"/>
      <c r="M9" s="213"/>
      <c r="N9" s="213"/>
      <c r="O9" s="194"/>
    </row>
    <row r="10" spans="1:17" ht="20.25">
      <c r="A10" s="376">
        <v>8</v>
      </c>
      <c r="B10" s="376" t="s">
        <v>184</v>
      </c>
      <c r="C10" s="459" t="s">
        <v>148</v>
      </c>
      <c r="D10" s="306">
        <v>0</v>
      </c>
      <c r="E10" s="52"/>
      <c r="F10" s="395" t="s">
        <v>148</v>
      </c>
      <c r="G10" s="460">
        <v>0</v>
      </c>
      <c r="H10" s="307">
        <f t="shared" si="1"/>
        <v>0</v>
      </c>
      <c r="I10" s="53">
        <f t="shared" si="2"/>
        <v>12</v>
      </c>
      <c r="J10" s="28"/>
      <c r="M10" s="18"/>
      <c r="N10" s="18"/>
      <c r="O10" s="3"/>
    </row>
    <row r="11" spans="1:17" ht="20.25">
      <c r="A11" s="376">
        <v>9</v>
      </c>
      <c r="B11" s="376" t="s">
        <v>185</v>
      </c>
      <c r="C11" s="459">
        <v>79</v>
      </c>
      <c r="D11" s="306">
        <f t="shared" si="3"/>
        <v>7.5178085044090812</v>
      </c>
      <c r="E11" s="52"/>
      <c r="F11" s="395" t="s">
        <v>148</v>
      </c>
      <c r="G11" s="460">
        <v>0</v>
      </c>
      <c r="H11" s="307">
        <f t="shared" si="1"/>
        <v>7.5178085044090812</v>
      </c>
      <c r="I11" s="53">
        <f t="shared" si="2"/>
        <v>8</v>
      </c>
      <c r="J11" s="28"/>
      <c r="M11" s="18"/>
      <c r="N11" s="18"/>
      <c r="O11" s="3"/>
    </row>
    <row r="12" spans="1:17" ht="20.25">
      <c r="A12" s="376">
        <v>10</v>
      </c>
      <c r="B12" s="376" t="s">
        <v>186</v>
      </c>
      <c r="C12" s="459" t="s">
        <v>148</v>
      </c>
      <c r="D12" s="306">
        <v>0</v>
      </c>
      <c r="E12" s="52"/>
      <c r="F12" s="395" t="s">
        <v>148</v>
      </c>
      <c r="G12" s="460">
        <v>0</v>
      </c>
      <c r="H12" s="307">
        <f t="shared" si="1"/>
        <v>0</v>
      </c>
      <c r="I12" s="53">
        <f t="shared" si="2"/>
        <v>12</v>
      </c>
      <c r="J12" s="28"/>
      <c r="K12" s="18"/>
      <c r="L12" s="52"/>
      <c r="M12" s="18"/>
      <c r="N12" s="18"/>
      <c r="O12" s="3"/>
    </row>
    <row r="13" spans="1:17" ht="20.25">
      <c r="A13" s="376">
        <v>11</v>
      </c>
      <c r="B13" s="376" t="s">
        <v>187</v>
      </c>
      <c r="C13" s="459">
        <v>74</v>
      </c>
      <c r="D13" s="306">
        <v>7.5</v>
      </c>
      <c r="E13" s="52"/>
      <c r="F13" s="395">
        <v>4</v>
      </c>
      <c r="G13" s="460">
        <f t="shared" si="0"/>
        <v>85.714285714285708</v>
      </c>
      <c r="H13" s="307">
        <f t="shared" si="1"/>
        <v>93.214285714285708</v>
      </c>
      <c r="I13" s="53">
        <f t="shared" si="2"/>
        <v>4</v>
      </c>
      <c r="J13" s="28"/>
      <c r="K13" s="18"/>
      <c r="L13" s="52"/>
      <c r="M13" s="18"/>
      <c r="N13" s="18"/>
      <c r="O13" s="3"/>
    </row>
    <row r="14" spans="1:17" ht="20.25">
      <c r="A14" s="376">
        <v>14</v>
      </c>
      <c r="B14" s="376" t="s">
        <v>188</v>
      </c>
      <c r="C14" s="459">
        <v>80</v>
      </c>
      <c r="D14" s="306">
        <v>7.5</v>
      </c>
      <c r="E14" s="52"/>
      <c r="F14" s="395" t="s">
        <v>148</v>
      </c>
      <c r="G14" s="460">
        <v>0</v>
      </c>
      <c r="H14" s="307">
        <f t="shared" si="1"/>
        <v>7.5</v>
      </c>
      <c r="I14" s="53">
        <f t="shared" si="2"/>
        <v>9</v>
      </c>
      <c r="J14" s="28"/>
      <c r="K14" s="18"/>
      <c r="L14" s="52"/>
      <c r="M14" s="18"/>
      <c r="N14" s="18"/>
      <c r="O14" s="3"/>
    </row>
    <row r="15" spans="1:17" ht="20.25">
      <c r="A15" s="376">
        <v>15</v>
      </c>
      <c r="B15" s="376" t="s">
        <v>189</v>
      </c>
      <c r="C15" s="459">
        <v>74</v>
      </c>
      <c r="D15" s="306">
        <v>7.5</v>
      </c>
      <c r="E15" s="52"/>
      <c r="F15" s="395">
        <v>5</v>
      </c>
      <c r="G15" s="460">
        <f t="shared" si="0"/>
        <v>64.285714285714278</v>
      </c>
      <c r="H15" s="307">
        <f t="shared" si="1"/>
        <v>71.785714285714278</v>
      </c>
      <c r="I15" s="53">
        <f t="shared" si="2"/>
        <v>6</v>
      </c>
      <c r="J15" s="28"/>
      <c r="K15" s="18"/>
      <c r="L15" s="52"/>
      <c r="M15" s="18"/>
      <c r="N15" s="18"/>
      <c r="O15" s="3"/>
    </row>
    <row r="16" spans="1:17" s="125" customFormat="1" ht="20.25">
      <c r="A16" s="376">
        <v>16</v>
      </c>
      <c r="B16" s="376" t="s">
        <v>190</v>
      </c>
      <c r="C16" s="459">
        <v>76</v>
      </c>
      <c r="D16" s="306">
        <v>7.5</v>
      </c>
      <c r="E16" s="52"/>
      <c r="F16" s="395" t="s">
        <v>148</v>
      </c>
      <c r="G16" s="460">
        <v>0</v>
      </c>
      <c r="H16" s="307">
        <f t="shared" si="1"/>
        <v>7.5</v>
      </c>
      <c r="I16" s="53">
        <f t="shared" si="2"/>
        <v>9</v>
      </c>
      <c r="J16" s="130"/>
      <c r="K16" s="126"/>
      <c r="L16" s="131"/>
      <c r="M16" s="126"/>
      <c r="N16" s="126"/>
      <c r="O16" s="124"/>
    </row>
    <row r="17" spans="1:13" s="125" customFormat="1" ht="20.25">
      <c r="A17" s="457">
        <v>17</v>
      </c>
      <c r="B17" s="376" t="s">
        <v>191</v>
      </c>
      <c r="C17" s="459">
        <v>69</v>
      </c>
      <c r="D17" s="306">
        <f t="shared" si="3"/>
        <v>75.178085044090835</v>
      </c>
      <c r="E17" s="52"/>
      <c r="F17" s="395">
        <v>3</v>
      </c>
      <c r="G17" s="460">
        <f t="shared" si="0"/>
        <v>107.14285714285714</v>
      </c>
      <c r="H17" s="307">
        <f t="shared" si="1"/>
        <v>182.32094218694797</v>
      </c>
      <c r="I17" s="53">
        <f t="shared" si="2"/>
        <v>2</v>
      </c>
      <c r="J17" s="119"/>
    </row>
    <row r="18" spans="1:13">
      <c r="C18" s="340"/>
      <c r="D18" s="63"/>
      <c r="E18" s="63" t="s">
        <v>129</v>
      </c>
      <c r="F18" s="152">
        <f>MIN(F5:F17)</f>
        <v>1</v>
      </c>
      <c r="G18" s="246"/>
      <c r="H18" s="49"/>
      <c r="I18" s="49"/>
      <c r="J18" s="4"/>
      <c r="K18" s="62"/>
      <c r="L18" s="64"/>
      <c r="M18" s="1"/>
    </row>
    <row r="19" spans="1:13">
      <c r="B19" s="149" t="s">
        <v>146</v>
      </c>
      <c r="C19" s="341">
        <f>MIN(C5:C17)</f>
        <v>66</v>
      </c>
      <c r="D19" s="66"/>
      <c r="E19" s="66" t="s">
        <v>131</v>
      </c>
      <c r="F19" s="152">
        <f>MAX(F5:F17)</f>
        <v>8</v>
      </c>
      <c r="G19" s="243"/>
      <c r="H19" s="66"/>
      <c r="I19" s="67"/>
      <c r="J19" s="4"/>
      <c r="K19" s="1"/>
      <c r="L19" s="1"/>
      <c r="M19" s="1"/>
    </row>
    <row r="20" spans="1:13">
      <c r="B20" s="149" t="s">
        <v>147</v>
      </c>
      <c r="C20" s="342">
        <v>74</v>
      </c>
      <c r="D20" s="66"/>
      <c r="E20" s="66" t="s">
        <v>128</v>
      </c>
      <c r="F20" s="66">
        <f>150/(F19-F18)</f>
        <v>21.428571428571427</v>
      </c>
      <c r="G20" s="243"/>
      <c r="H20" s="66"/>
      <c r="I20" s="67"/>
      <c r="J20" s="4"/>
      <c r="K20" s="1"/>
      <c r="L20" s="1"/>
      <c r="M20" s="1"/>
    </row>
    <row r="21" spans="1:13">
      <c r="B21" s="236"/>
      <c r="C21" s="341"/>
      <c r="D21" s="66"/>
      <c r="E21" s="66" t="s">
        <v>130</v>
      </c>
      <c r="F21" s="66">
        <f>F20*F19</f>
        <v>171.42857142857142</v>
      </c>
      <c r="G21" s="243"/>
      <c r="H21" s="66"/>
      <c r="I21" s="67"/>
      <c r="J21" s="4"/>
      <c r="K21" s="1"/>
      <c r="L21" s="1"/>
      <c r="M21" s="1"/>
    </row>
    <row r="22" spans="1:13">
      <c r="B22" s="268"/>
      <c r="C22" s="341"/>
      <c r="D22" s="66"/>
      <c r="E22" s="66"/>
      <c r="F22" s="66"/>
      <c r="G22" s="243"/>
      <c r="H22" s="66"/>
      <c r="I22" s="67"/>
      <c r="J22" s="4"/>
      <c r="K22" s="1"/>
      <c r="L22" s="1"/>
      <c r="M22" s="1"/>
    </row>
    <row r="23" spans="1:13">
      <c r="B23" s="248"/>
      <c r="C23" s="341"/>
      <c r="D23" s="66"/>
      <c r="E23" s="66"/>
      <c r="F23" s="66"/>
      <c r="G23" s="243"/>
      <c r="H23" s="66"/>
      <c r="I23" s="67"/>
      <c r="J23" s="4"/>
      <c r="K23" s="1"/>
      <c r="L23" s="1"/>
      <c r="M23" s="1"/>
    </row>
    <row r="24" spans="1:13">
      <c r="B24" s="248"/>
      <c r="C24" s="341"/>
      <c r="D24" s="66"/>
      <c r="E24" s="66"/>
      <c r="G24" s="243"/>
      <c r="H24" s="66"/>
      <c r="I24" s="67"/>
      <c r="J24" s="4"/>
      <c r="K24" s="1"/>
      <c r="L24" s="1"/>
      <c r="M24" s="1"/>
    </row>
    <row r="25" spans="1:13">
      <c r="B25" s="248"/>
      <c r="C25" s="270" t="s">
        <v>137</v>
      </c>
      <c r="D25" s="66"/>
      <c r="E25" s="66"/>
      <c r="G25" s="243"/>
      <c r="H25" s="66"/>
      <c r="I25" s="67"/>
      <c r="J25" s="4"/>
      <c r="K25" s="1"/>
      <c r="L25" s="1"/>
      <c r="M25" s="1"/>
    </row>
    <row r="26" spans="1:13">
      <c r="B26" s="65"/>
      <c r="C26" s="343" t="s">
        <v>100</v>
      </c>
      <c r="D26" s="264" t="s">
        <v>48</v>
      </c>
      <c r="E26" s="66"/>
      <c r="F26" s="66"/>
      <c r="G26" s="243"/>
      <c r="H26" s="66"/>
      <c r="I26" s="67"/>
      <c r="J26" s="4"/>
      <c r="K26" s="1"/>
      <c r="L26" s="1"/>
      <c r="M26" s="1"/>
    </row>
    <row r="27" spans="1:13">
      <c r="B27" s="265" t="s">
        <v>132</v>
      </c>
      <c r="C27" s="344">
        <f>C19</f>
        <v>66</v>
      </c>
      <c r="D27" s="183">
        <f>10^(($C$27-C27)/10)*150</f>
        <v>150</v>
      </c>
      <c r="E27" s="270" t="s">
        <v>138</v>
      </c>
      <c r="F27" s="66"/>
      <c r="G27" s="243"/>
      <c r="H27" s="66"/>
      <c r="I27" s="67"/>
      <c r="J27" s="4"/>
      <c r="K27" s="1"/>
      <c r="L27" s="1"/>
      <c r="M27" s="1"/>
    </row>
    <row r="28" spans="1:13">
      <c r="B28" s="65"/>
      <c r="C28" s="344">
        <f>C27+0.5</f>
        <v>66.5</v>
      </c>
      <c r="D28" s="183">
        <f t="shared" ref="D28:D43" si="4">10^(($C$27-C28)/10)*150</f>
        <v>133.68764072006181</v>
      </c>
      <c r="E28" s="66"/>
      <c r="F28" s="66"/>
      <c r="G28" s="243"/>
      <c r="H28" s="66"/>
      <c r="I28" s="67"/>
      <c r="J28" s="4"/>
      <c r="K28" s="1"/>
      <c r="L28" s="1"/>
      <c r="M28" s="1"/>
    </row>
    <row r="29" spans="1:13">
      <c r="B29" s="65"/>
      <c r="C29" s="344">
        <f t="shared" ref="C29:C43" si="5">C28+0.5</f>
        <v>67</v>
      </c>
      <c r="D29" s="183">
        <f t="shared" si="4"/>
        <v>119.14923520864222</v>
      </c>
      <c r="E29" s="66"/>
      <c r="F29" s="66"/>
      <c r="G29" s="243"/>
      <c r="H29" s="66"/>
      <c r="I29" s="67"/>
      <c r="J29" s="4"/>
      <c r="K29" s="1"/>
      <c r="L29" s="1"/>
      <c r="M29" s="1"/>
    </row>
    <row r="30" spans="1:13">
      <c r="B30" s="65"/>
      <c r="C30" s="344">
        <f t="shared" si="5"/>
        <v>67.5</v>
      </c>
      <c r="D30" s="183">
        <f t="shared" si="4"/>
        <v>106.19186765762069</v>
      </c>
      <c r="E30" s="66"/>
      <c r="F30" s="66"/>
      <c r="G30" s="243"/>
      <c r="H30" s="66"/>
      <c r="I30" s="67"/>
      <c r="J30" s="4"/>
      <c r="K30" s="1"/>
      <c r="L30" s="1"/>
      <c r="M30" s="1"/>
    </row>
    <row r="31" spans="1:13">
      <c r="B31" s="65"/>
      <c r="C31" s="344">
        <f t="shared" si="5"/>
        <v>68</v>
      </c>
      <c r="D31" s="183">
        <f t="shared" si="4"/>
        <v>94.643601672028993</v>
      </c>
      <c r="E31" s="66"/>
      <c r="F31" s="66"/>
      <c r="G31" s="243"/>
      <c r="H31" s="66"/>
      <c r="I31" s="67"/>
      <c r="J31" s="4"/>
      <c r="K31" s="1"/>
      <c r="L31" s="1"/>
      <c r="M31" s="1"/>
    </row>
    <row r="32" spans="1:13">
      <c r="B32" s="65"/>
      <c r="C32" s="344">
        <f t="shared" si="5"/>
        <v>68.5</v>
      </c>
      <c r="D32" s="183">
        <f t="shared" si="4"/>
        <v>84.351198778552359</v>
      </c>
      <c r="E32" s="66"/>
      <c r="F32" s="66"/>
      <c r="G32" s="243"/>
      <c r="H32" s="66"/>
      <c r="I32" s="67"/>
      <c r="J32" s="4"/>
      <c r="K32" s="1"/>
      <c r="L32" s="1"/>
      <c r="M32" s="1"/>
    </row>
    <row r="33" spans="2:13">
      <c r="B33" s="65"/>
      <c r="C33" s="344">
        <f t="shared" si="5"/>
        <v>69</v>
      </c>
      <c r="D33" s="183">
        <f t="shared" si="4"/>
        <v>75.178085044090835</v>
      </c>
      <c r="E33" s="148"/>
      <c r="F33" s="66"/>
      <c r="G33" s="247"/>
      <c r="H33" s="149"/>
      <c r="I33" s="67"/>
      <c r="J33" s="4"/>
      <c r="K33" s="1"/>
      <c r="L33" s="1"/>
      <c r="M33" s="1"/>
    </row>
    <row r="34" spans="2:13">
      <c r="B34" s="65"/>
      <c r="C34" s="344">
        <f t="shared" si="5"/>
        <v>69.5</v>
      </c>
      <c r="D34" s="183">
        <f t="shared" si="4"/>
        <v>67.002538822644468</v>
      </c>
      <c r="E34" s="66"/>
      <c r="F34" s="66"/>
      <c r="G34" s="243"/>
      <c r="H34" s="66"/>
      <c r="I34" s="67"/>
      <c r="J34" s="4"/>
      <c r="K34" s="1"/>
      <c r="L34" s="1"/>
      <c r="M34" s="1"/>
    </row>
    <row r="35" spans="2:13">
      <c r="B35" s="1"/>
      <c r="C35" s="344">
        <f t="shared" si="5"/>
        <v>70</v>
      </c>
      <c r="D35" s="183">
        <f t="shared" si="4"/>
        <v>59.716075583024583</v>
      </c>
      <c r="E35" s="1"/>
      <c r="F35" s="1"/>
      <c r="G35" s="244"/>
      <c r="H35" s="1"/>
      <c r="I35" s="1"/>
      <c r="J35" s="4"/>
      <c r="K35" s="1"/>
      <c r="L35" s="1"/>
      <c r="M35" s="1"/>
    </row>
    <row r="36" spans="2:13">
      <c r="B36" s="1"/>
      <c r="C36" s="344">
        <f t="shared" si="5"/>
        <v>70.5</v>
      </c>
      <c r="D36" s="183">
        <f t="shared" si="4"/>
        <v>53.222008385036311</v>
      </c>
      <c r="E36" s="4"/>
      <c r="F36" s="4"/>
      <c r="G36" s="245"/>
      <c r="H36" s="4"/>
      <c r="I36" s="4"/>
      <c r="J36" s="4"/>
      <c r="K36" s="1"/>
      <c r="L36" s="1"/>
      <c r="M36" s="1"/>
    </row>
    <row r="37" spans="2:13">
      <c r="C37" s="344">
        <f t="shared" si="5"/>
        <v>71</v>
      </c>
      <c r="D37" s="183">
        <f t="shared" si="4"/>
        <v>47.434164902525694</v>
      </c>
      <c r="E37" s="4"/>
      <c r="F37" s="4"/>
      <c r="G37" s="245"/>
      <c r="H37" s="4"/>
      <c r="I37" s="4"/>
      <c r="J37" s="4"/>
    </row>
    <row r="38" spans="2:13">
      <c r="C38" s="344">
        <f t="shared" si="5"/>
        <v>71.5</v>
      </c>
      <c r="D38" s="183">
        <f t="shared" si="4"/>
        <v>42.2757439689668</v>
      </c>
      <c r="E38" s="4"/>
      <c r="F38" s="4"/>
      <c r="G38" s="245"/>
      <c r="H38" s="4"/>
      <c r="I38" s="4"/>
      <c r="J38" s="4"/>
    </row>
    <row r="39" spans="2:13">
      <c r="C39" s="344">
        <f t="shared" si="5"/>
        <v>72</v>
      </c>
      <c r="D39" s="183">
        <f t="shared" si="4"/>
        <v>37.678296472643702</v>
      </c>
      <c r="E39" s="4"/>
      <c r="F39" s="4"/>
      <c r="G39" s="245"/>
      <c r="H39" s="4"/>
      <c r="I39" s="4"/>
      <c r="J39" s="4"/>
    </row>
    <row r="40" spans="2:13">
      <c r="C40" s="344">
        <f t="shared" si="5"/>
        <v>72.5</v>
      </c>
      <c r="D40" s="183">
        <f t="shared" si="4"/>
        <v>33.580817078525087</v>
      </c>
      <c r="E40" s="4"/>
      <c r="F40" s="4"/>
      <c r="G40" s="245"/>
      <c r="H40" s="4"/>
      <c r="I40" s="4"/>
      <c r="J40" s="4"/>
    </row>
    <row r="41" spans="2:13">
      <c r="C41" s="344">
        <f t="shared" si="5"/>
        <v>73</v>
      </c>
      <c r="D41" s="183">
        <f t="shared" si="4"/>
        <v>29.928934724533192</v>
      </c>
      <c r="E41" s="4"/>
      <c r="F41" s="4"/>
      <c r="G41" s="245"/>
      <c r="H41" s="4"/>
      <c r="I41" s="4"/>
      <c r="J41" s="4"/>
    </row>
    <row r="42" spans="2:13">
      <c r="C42" s="344">
        <f t="shared" si="5"/>
        <v>73.5</v>
      </c>
      <c r="D42" s="183">
        <f t="shared" si="4"/>
        <v>26.674191150583834</v>
      </c>
      <c r="E42" s="4"/>
      <c r="F42" s="4"/>
      <c r="G42" s="245"/>
      <c r="H42" s="4"/>
      <c r="I42" s="4"/>
      <c r="J42" s="4"/>
    </row>
    <row r="43" spans="2:13">
      <c r="B43" s="256" t="s">
        <v>133</v>
      </c>
      <c r="C43" s="344">
        <f t="shared" si="5"/>
        <v>74</v>
      </c>
      <c r="D43" s="183">
        <f t="shared" si="4"/>
        <v>23.773397886916698</v>
      </c>
      <c r="E43" s="269" t="s">
        <v>139</v>
      </c>
      <c r="F43" s="4"/>
      <c r="G43" s="245"/>
      <c r="H43" s="4"/>
      <c r="I43" s="4"/>
      <c r="J43" s="4"/>
    </row>
    <row r="44" spans="2:13">
      <c r="C44" s="344"/>
      <c r="D44" s="257"/>
      <c r="E44" s="4"/>
      <c r="F44" s="4"/>
      <c r="G44" s="245"/>
      <c r="H44" s="4"/>
      <c r="I44" s="4"/>
      <c r="J44" s="4"/>
    </row>
    <row r="45" spans="2:13">
      <c r="C45" s="344"/>
      <c r="D45" s="257"/>
      <c r="E45" s="4"/>
      <c r="F45" s="4"/>
      <c r="G45" s="245"/>
      <c r="H45" s="4"/>
      <c r="I45" s="4"/>
      <c r="J45" s="4"/>
    </row>
    <row r="46" spans="2:13">
      <c r="C46" s="341"/>
      <c r="D46" s="167"/>
      <c r="E46" s="4"/>
      <c r="F46" s="4"/>
      <c r="G46" s="245"/>
      <c r="H46" s="4"/>
      <c r="I46" s="4"/>
      <c r="J46" s="4"/>
    </row>
    <row r="47" spans="2:13">
      <c r="C47" s="341"/>
      <c r="D47" s="167"/>
      <c r="E47" s="4"/>
      <c r="F47" s="4"/>
      <c r="G47" s="245"/>
      <c r="H47" s="4"/>
      <c r="I47" s="4"/>
      <c r="J47" s="4"/>
    </row>
    <row r="48" spans="2:13">
      <c r="C48" s="341"/>
      <c r="D48" s="167"/>
      <c r="E48" s="4"/>
      <c r="F48" s="4"/>
      <c r="G48" s="245"/>
      <c r="H48" s="4"/>
      <c r="I48" s="4"/>
      <c r="J48" s="4"/>
    </row>
    <row r="49" spans="3:10">
      <c r="C49" s="341"/>
      <c r="D49" s="167"/>
      <c r="E49" s="4"/>
      <c r="F49" s="4"/>
      <c r="G49" s="245"/>
      <c r="H49" s="4"/>
      <c r="I49" s="4"/>
      <c r="J49" s="4"/>
    </row>
    <row r="50" spans="3:10">
      <c r="C50" s="341"/>
      <c r="D50" s="167"/>
      <c r="E50" s="4"/>
      <c r="F50" s="4"/>
      <c r="G50" s="245"/>
      <c r="H50" s="4"/>
      <c r="I50" s="4"/>
      <c r="J50" s="4"/>
    </row>
    <row r="51" spans="3:10">
      <c r="C51" s="341"/>
      <c r="D51" s="167"/>
      <c r="E51" s="4"/>
      <c r="F51" s="4"/>
      <c r="G51" s="245"/>
      <c r="H51" s="4"/>
      <c r="I51" s="4"/>
      <c r="J51" s="4"/>
    </row>
    <row r="52" spans="3:10">
      <c r="C52" s="341"/>
    </row>
    <row r="53" spans="3:10">
      <c r="C53" s="341"/>
    </row>
  </sheetData>
  <phoneticPr fontId="25" type="noConversion"/>
  <printOptions gridLines="1"/>
  <pageMargins left="0.75" right="0.75" top="0.5" bottom="0.5" header="0.5" footer="0.5"/>
  <pageSetup scale="73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BE28"/>
  <sheetViews>
    <sheetView zoomScaleNormal="100" workbookViewId="0">
      <pane xSplit="2" ySplit="3" topLeftCell="C4" activePane="bottomRight" state="frozen"/>
      <selection pane="topRight"/>
      <selection pane="bottomLeft"/>
      <selection pane="bottomRight"/>
    </sheetView>
  </sheetViews>
  <sheetFormatPr defaultColWidth="8.85546875" defaultRowHeight="12.75"/>
  <cols>
    <col min="2" max="2" width="61" customWidth="1"/>
    <col min="3" max="3" width="5.5703125" style="3" customWidth="1"/>
    <col min="4" max="19" width="5.5703125" customWidth="1"/>
    <col min="20" max="20" width="6.140625" customWidth="1"/>
    <col min="21" max="54" width="5.5703125" customWidth="1"/>
  </cols>
  <sheetData>
    <row r="1" spans="1:57" ht="18.75">
      <c r="B1" s="345" t="s">
        <v>198</v>
      </c>
      <c r="C1" s="38"/>
      <c r="D1" s="29"/>
      <c r="E1" s="29"/>
      <c r="F1" s="29"/>
      <c r="G1" s="190"/>
      <c r="H1" s="29"/>
      <c r="I1" s="29"/>
      <c r="J1" s="29"/>
      <c r="K1" s="29"/>
      <c r="L1" s="29"/>
      <c r="M1" s="29"/>
      <c r="N1" s="29"/>
      <c r="O1" s="255" t="s">
        <v>134</v>
      </c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177"/>
      <c r="BD1" s="177"/>
    </row>
    <row r="2" spans="1:57"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320"/>
      <c r="AE2" s="184"/>
      <c r="AF2" s="184"/>
      <c r="AG2" s="184"/>
      <c r="AH2" s="184"/>
      <c r="AI2" s="184"/>
      <c r="AJ2" s="184"/>
      <c r="AK2" s="184"/>
      <c r="AL2" s="184"/>
      <c r="AM2" s="184"/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77"/>
      <c r="BD2" s="177"/>
    </row>
    <row r="3" spans="1:57" s="59" customFormat="1">
      <c r="B3" s="144"/>
      <c r="C3" s="271">
        <v>1</v>
      </c>
      <c r="D3" s="271">
        <v>2</v>
      </c>
      <c r="E3" s="271">
        <v>3</v>
      </c>
      <c r="F3" s="271">
        <v>4</v>
      </c>
      <c r="G3" s="271">
        <v>5</v>
      </c>
      <c r="H3" s="271">
        <v>6</v>
      </c>
      <c r="I3" s="271">
        <v>7</v>
      </c>
      <c r="J3" s="271">
        <v>8</v>
      </c>
      <c r="K3" s="271">
        <v>9</v>
      </c>
      <c r="L3" s="271">
        <v>10</v>
      </c>
      <c r="M3" s="271">
        <v>11</v>
      </c>
      <c r="N3" s="271">
        <v>12</v>
      </c>
      <c r="O3" s="271">
        <v>13</v>
      </c>
      <c r="P3" s="271">
        <v>14</v>
      </c>
      <c r="Q3" s="271">
        <v>15</v>
      </c>
      <c r="R3" s="271">
        <v>16</v>
      </c>
      <c r="S3" s="271">
        <v>17</v>
      </c>
      <c r="T3" s="271">
        <v>18</v>
      </c>
      <c r="U3" s="271">
        <v>19</v>
      </c>
      <c r="V3" s="271">
        <v>20</v>
      </c>
      <c r="W3" s="271">
        <v>21</v>
      </c>
      <c r="X3" s="271">
        <v>22</v>
      </c>
      <c r="Y3" s="271">
        <v>23</v>
      </c>
      <c r="Z3" s="271">
        <v>24</v>
      </c>
      <c r="AA3" s="271">
        <v>25</v>
      </c>
      <c r="AB3" s="271">
        <v>26</v>
      </c>
      <c r="AC3" s="271">
        <v>27</v>
      </c>
      <c r="AD3" s="271">
        <v>28</v>
      </c>
      <c r="AE3" s="271">
        <v>29</v>
      </c>
      <c r="AF3" s="271">
        <v>30</v>
      </c>
      <c r="AG3" s="271">
        <v>31</v>
      </c>
      <c r="AH3" s="271">
        <v>32</v>
      </c>
      <c r="AI3" s="271">
        <v>33</v>
      </c>
      <c r="AJ3" s="271">
        <v>34</v>
      </c>
      <c r="AK3" s="271">
        <v>35</v>
      </c>
      <c r="AL3" s="271">
        <v>36</v>
      </c>
      <c r="AM3" s="271">
        <v>37</v>
      </c>
      <c r="AN3" s="271">
        <v>38</v>
      </c>
      <c r="AO3" s="271">
        <v>39</v>
      </c>
      <c r="AP3" s="271">
        <v>40</v>
      </c>
      <c r="AQ3" s="271">
        <v>41</v>
      </c>
      <c r="AR3" s="271">
        <v>42</v>
      </c>
      <c r="AS3" s="271">
        <v>43</v>
      </c>
      <c r="AT3" s="271">
        <v>44</v>
      </c>
      <c r="AU3" s="271">
        <v>45</v>
      </c>
      <c r="AV3" s="271">
        <v>46</v>
      </c>
      <c r="AW3" s="271">
        <v>47</v>
      </c>
      <c r="AX3" s="271">
        <v>48</v>
      </c>
      <c r="AY3" s="271">
        <v>49</v>
      </c>
      <c r="AZ3" s="271">
        <v>50</v>
      </c>
      <c r="BA3" s="271">
        <v>51</v>
      </c>
      <c r="BB3" s="271">
        <v>52</v>
      </c>
      <c r="BC3" s="161" t="s">
        <v>67</v>
      </c>
      <c r="BD3" s="161" t="s">
        <v>48</v>
      </c>
      <c r="BE3" s="145" t="s">
        <v>27</v>
      </c>
    </row>
    <row r="4" spans="1:57" s="59" customFormat="1" ht="20.25">
      <c r="A4" s="376">
        <v>1</v>
      </c>
      <c r="B4" s="376" t="s">
        <v>179</v>
      </c>
      <c r="C4" s="304"/>
      <c r="D4" s="336">
        <v>72.5</v>
      </c>
      <c r="E4" s="336">
        <v>50</v>
      </c>
      <c r="F4" s="336">
        <v>41.5</v>
      </c>
      <c r="G4" s="336">
        <v>75.5</v>
      </c>
      <c r="H4" s="336">
        <v>75</v>
      </c>
      <c r="I4" s="336">
        <v>70</v>
      </c>
      <c r="J4" s="336">
        <v>70.5</v>
      </c>
      <c r="K4" s="336">
        <v>72</v>
      </c>
      <c r="L4" s="336">
        <v>59</v>
      </c>
      <c r="M4" s="336">
        <v>79</v>
      </c>
      <c r="N4" s="336">
        <v>40</v>
      </c>
      <c r="O4" s="336">
        <v>55</v>
      </c>
      <c r="P4" s="336">
        <v>77</v>
      </c>
      <c r="Q4" s="336">
        <v>57.5</v>
      </c>
      <c r="R4" s="336">
        <v>78</v>
      </c>
      <c r="S4" s="336">
        <v>82.5</v>
      </c>
      <c r="T4" s="336">
        <v>51</v>
      </c>
      <c r="U4" s="336">
        <v>85</v>
      </c>
      <c r="V4" s="336">
        <v>60</v>
      </c>
      <c r="W4" s="336">
        <v>74</v>
      </c>
      <c r="X4" s="336">
        <v>40</v>
      </c>
      <c r="Y4" s="336">
        <v>80</v>
      </c>
      <c r="Z4" s="336">
        <v>76</v>
      </c>
      <c r="AA4" s="336">
        <v>70</v>
      </c>
      <c r="AB4" s="336">
        <v>92</v>
      </c>
      <c r="AC4" s="336">
        <v>52.5</v>
      </c>
      <c r="AD4" s="336">
        <v>70</v>
      </c>
      <c r="AE4" s="336">
        <v>65</v>
      </c>
      <c r="AF4" s="336">
        <v>67</v>
      </c>
      <c r="AG4" s="299">
        <v>36</v>
      </c>
      <c r="AH4" s="336">
        <v>83.5</v>
      </c>
      <c r="AI4" s="336">
        <v>55</v>
      </c>
      <c r="AJ4" s="336">
        <v>67.5</v>
      </c>
      <c r="AK4" s="336">
        <v>75</v>
      </c>
      <c r="AL4" s="336"/>
      <c r="AM4" s="336">
        <v>87.5</v>
      </c>
      <c r="AN4" s="336">
        <v>77.5</v>
      </c>
      <c r="AO4" s="336"/>
      <c r="AP4" s="336"/>
      <c r="AQ4" s="336"/>
      <c r="AR4" s="336"/>
      <c r="AS4" s="336"/>
      <c r="AT4" s="336"/>
      <c r="AU4" s="336"/>
      <c r="AV4" s="336">
        <v>70</v>
      </c>
      <c r="AW4" s="336"/>
      <c r="AX4" s="336"/>
      <c r="AY4" s="336"/>
      <c r="AZ4" s="336"/>
      <c r="BA4" s="336"/>
      <c r="BB4" s="336"/>
      <c r="BC4" s="461">
        <f>AVERAGE(C4:BB4)</f>
        <v>67.28378378378379</v>
      </c>
      <c r="BD4" s="379">
        <f>IF(BC4&lt;5,5,BC4)</f>
        <v>67.28378378378379</v>
      </c>
      <c r="BE4" s="378">
        <f t="shared" ref="BE4:BE15" si="0">RANK(BD4,$BD$4:$BD$16)</f>
        <v>6</v>
      </c>
    </row>
    <row r="5" spans="1:57" s="59" customFormat="1" ht="20.25">
      <c r="A5" s="376">
        <v>2</v>
      </c>
      <c r="B5" s="376" t="s">
        <v>180</v>
      </c>
      <c r="C5" s="304">
        <v>75</v>
      </c>
      <c r="D5" s="336">
        <v>60</v>
      </c>
      <c r="E5" s="336">
        <v>75</v>
      </c>
      <c r="F5" s="336">
        <v>52.5</v>
      </c>
      <c r="G5" s="336">
        <v>78</v>
      </c>
      <c r="H5" s="336">
        <v>100</v>
      </c>
      <c r="I5" s="336">
        <v>85</v>
      </c>
      <c r="J5" s="336">
        <v>70.5</v>
      </c>
      <c r="K5" s="336">
        <v>67</v>
      </c>
      <c r="L5" s="336">
        <v>53.5</v>
      </c>
      <c r="M5" s="336">
        <v>74</v>
      </c>
      <c r="N5" s="336">
        <v>41.5</v>
      </c>
      <c r="O5" s="336">
        <v>37.5</v>
      </c>
      <c r="P5" s="336">
        <v>80</v>
      </c>
      <c r="Q5" s="336">
        <v>90</v>
      </c>
      <c r="R5" s="336">
        <v>72</v>
      </c>
      <c r="S5" s="336">
        <v>83</v>
      </c>
      <c r="T5" s="336">
        <v>60</v>
      </c>
      <c r="U5" s="336">
        <v>70</v>
      </c>
      <c r="V5" s="336">
        <v>70</v>
      </c>
      <c r="W5" s="336">
        <v>84</v>
      </c>
      <c r="X5" s="336">
        <v>32.5</v>
      </c>
      <c r="Y5" s="336">
        <v>95</v>
      </c>
      <c r="Z5" s="336">
        <v>77</v>
      </c>
      <c r="AA5" s="336">
        <v>78</v>
      </c>
      <c r="AB5" s="336">
        <v>95</v>
      </c>
      <c r="AC5" s="336">
        <v>71</v>
      </c>
      <c r="AD5" s="336">
        <v>85</v>
      </c>
      <c r="AE5" s="336">
        <v>60</v>
      </c>
      <c r="AF5" s="336">
        <v>77</v>
      </c>
      <c r="AG5" s="299">
        <v>74.5</v>
      </c>
      <c r="AH5" s="336">
        <v>84</v>
      </c>
      <c r="AI5" s="336">
        <v>67.5</v>
      </c>
      <c r="AJ5" s="336">
        <v>57.5</v>
      </c>
      <c r="AK5" s="336">
        <v>60</v>
      </c>
      <c r="AL5" s="336">
        <v>80</v>
      </c>
      <c r="AM5" s="336">
        <v>97.5</v>
      </c>
      <c r="AN5" s="336">
        <v>86</v>
      </c>
      <c r="AO5" s="336"/>
      <c r="AP5" s="336"/>
      <c r="AQ5" s="336"/>
      <c r="AR5" s="336"/>
      <c r="AS5" s="336"/>
      <c r="AT5" s="336"/>
      <c r="AU5" s="336"/>
      <c r="AV5" s="336">
        <v>78</v>
      </c>
      <c r="AW5" s="336"/>
      <c r="AX5" s="336"/>
      <c r="AY5" s="336"/>
      <c r="AZ5" s="336"/>
      <c r="BA5" s="336"/>
      <c r="BB5" s="336"/>
      <c r="BC5" s="461">
        <f t="shared" ref="BC5:BC16" si="1">AVERAGE(C5:BB5)</f>
        <v>72.666666666666671</v>
      </c>
      <c r="BD5" s="379">
        <f>IF(BC5&lt;5,5,BC5)</f>
        <v>72.666666666666671</v>
      </c>
      <c r="BE5" s="378">
        <f t="shared" si="0"/>
        <v>3</v>
      </c>
    </row>
    <row r="6" spans="1:57" s="146" customFormat="1" ht="20.25">
      <c r="A6" s="376">
        <v>3</v>
      </c>
      <c r="B6" s="376" t="s">
        <v>181</v>
      </c>
      <c r="C6" s="304">
        <v>54</v>
      </c>
      <c r="D6" s="336"/>
      <c r="E6" s="336">
        <v>100</v>
      </c>
      <c r="F6" s="336">
        <v>90</v>
      </c>
      <c r="G6" s="336"/>
      <c r="H6" s="336"/>
      <c r="I6" s="336">
        <v>86</v>
      </c>
      <c r="J6" s="336"/>
      <c r="K6" s="336"/>
      <c r="L6" s="336">
        <v>71</v>
      </c>
      <c r="M6" s="336"/>
      <c r="N6" s="336">
        <v>29</v>
      </c>
      <c r="O6" s="336"/>
      <c r="P6" s="336">
        <v>82</v>
      </c>
      <c r="Q6" s="336"/>
      <c r="R6" s="336"/>
      <c r="S6" s="336"/>
      <c r="T6" s="336"/>
      <c r="U6" s="336">
        <v>75</v>
      </c>
      <c r="V6" s="336">
        <v>62.5</v>
      </c>
      <c r="W6" s="336">
        <v>76</v>
      </c>
      <c r="X6" s="336"/>
      <c r="Y6" s="336">
        <v>95</v>
      </c>
      <c r="Z6" s="336"/>
      <c r="AA6" s="336"/>
      <c r="AB6" s="336">
        <v>91.5</v>
      </c>
      <c r="AC6" s="336"/>
      <c r="AD6" s="336">
        <v>85</v>
      </c>
      <c r="AE6" s="336">
        <v>62.5</v>
      </c>
      <c r="AF6" s="336">
        <v>66</v>
      </c>
      <c r="AG6" s="377"/>
      <c r="AH6" s="336"/>
      <c r="AI6" s="336"/>
      <c r="AJ6" s="336">
        <v>77.5</v>
      </c>
      <c r="AK6" s="336">
        <v>65</v>
      </c>
      <c r="AL6" s="336"/>
      <c r="AM6" s="336">
        <v>81.5</v>
      </c>
      <c r="AN6" s="336"/>
      <c r="AO6" s="336">
        <v>64</v>
      </c>
      <c r="AP6" s="336">
        <v>82</v>
      </c>
      <c r="AQ6" s="336">
        <v>40</v>
      </c>
      <c r="AR6" s="336"/>
      <c r="AS6" s="336">
        <v>71</v>
      </c>
      <c r="AT6" s="336">
        <v>67</v>
      </c>
      <c r="AU6" s="336"/>
      <c r="AV6" s="336">
        <v>76</v>
      </c>
      <c r="AW6" s="336">
        <v>67.5</v>
      </c>
      <c r="AX6" s="336"/>
      <c r="AY6" s="336">
        <v>82</v>
      </c>
      <c r="AZ6" s="336"/>
      <c r="BA6" s="336"/>
      <c r="BB6" s="336">
        <v>67</v>
      </c>
      <c r="BC6" s="461">
        <f t="shared" si="1"/>
        <v>72.81481481481481</v>
      </c>
      <c r="BD6" s="379">
        <f t="shared" ref="BD6:BD16" si="2">IF(BC6&lt;5,5,BC6)</f>
        <v>72.81481481481481</v>
      </c>
      <c r="BE6" s="378">
        <f t="shared" si="0"/>
        <v>2</v>
      </c>
    </row>
    <row r="7" spans="1:57" s="59" customFormat="1" ht="20.25">
      <c r="A7" s="376">
        <v>4</v>
      </c>
      <c r="B7" s="376" t="s">
        <v>182</v>
      </c>
      <c r="C7" s="304">
        <v>54</v>
      </c>
      <c r="D7" s="336">
        <v>100</v>
      </c>
      <c r="E7" s="336">
        <v>97.5</v>
      </c>
      <c r="F7" s="336">
        <v>97</v>
      </c>
      <c r="G7" s="336"/>
      <c r="H7" s="336"/>
      <c r="I7" s="336">
        <v>79</v>
      </c>
      <c r="J7" s="336"/>
      <c r="K7" s="336">
        <v>71</v>
      </c>
      <c r="L7" s="336">
        <v>71.5</v>
      </c>
      <c r="M7" s="336"/>
      <c r="N7" s="336">
        <v>38</v>
      </c>
      <c r="O7" s="336"/>
      <c r="P7" s="336">
        <v>85</v>
      </c>
      <c r="Q7" s="336"/>
      <c r="R7" s="336"/>
      <c r="S7" s="336"/>
      <c r="T7" s="336"/>
      <c r="U7" s="336">
        <v>85</v>
      </c>
      <c r="V7" s="336">
        <v>65</v>
      </c>
      <c r="W7" s="336">
        <v>82</v>
      </c>
      <c r="X7" s="336"/>
      <c r="Y7" s="336">
        <v>100</v>
      </c>
      <c r="Z7" s="336">
        <v>81</v>
      </c>
      <c r="AA7" s="336">
        <v>76</v>
      </c>
      <c r="AB7" s="336">
        <v>92</v>
      </c>
      <c r="AC7" s="336"/>
      <c r="AD7" s="336">
        <v>93</v>
      </c>
      <c r="AE7" s="336">
        <v>87.5</v>
      </c>
      <c r="AF7" s="336">
        <v>73</v>
      </c>
      <c r="AG7" s="299"/>
      <c r="AH7" s="336">
        <v>95</v>
      </c>
      <c r="AI7" s="336"/>
      <c r="AJ7" s="336">
        <v>55</v>
      </c>
      <c r="AK7" s="336">
        <v>68</v>
      </c>
      <c r="AL7" s="336"/>
      <c r="AM7" s="336">
        <v>85</v>
      </c>
      <c r="AN7" s="336"/>
      <c r="AO7" s="336">
        <v>75</v>
      </c>
      <c r="AP7" s="336">
        <v>74</v>
      </c>
      <c r="AQ7" s="336">
        <v>72.5</v>
      </c>
      <c r="AR7" s="336"/>
      <c r="AS7" s="336">
        <v>79</v>
      </c>
      <c r="AT7" s="336">
        <v>74</v>
      </c>
      <c r="AU7" s="336"/>
      <c r="AV7" s="336">
        <v>76</v>
      </c>
      <c r="AW7" s="336">
        <v>87.5</v>
      </c>
      <c r="AX7" s="336">
        <v>69</v>
      </c>
      <c r="AY7" s="336">
        <v>50</v>
      </c>
      <c r="AZ7" s="336"/>
      <c r="BA7" s="336"/>
      <c r="BB7" s="336">
        <v>76</v>
      </c>
      <c r="BC7" s="461">
        <f t="shared" si="1"/>
        <v>77.681818181818187</v>
      </c>
      <c r="BD7" s="379">
        <f t="shared" si="2"/>
        <v>77.681818181818187</v>
      </c>
      <c r="BE7" s="378">
        <f t="shared" si="0"/>
        <v>1</v>
      </c>
    </row>
    <row r="8" spans="1:57" s="59" customFormat="1" ht="20.25">
      <c r="A8" s="376">
        <v>7</v>
      </c>
      <c r="B8" s="376" t="s">
        <v>183</v>
      </c>
      <c r="C8" s="336">
        <v>60</v>
      </c>
      <c r="D8" s="336">
        <v>82.5</v>
      </c>
      <c r="E8" s="336">
        <v>95</v>
      </c>
      <c r="F8" s="336">
        <v>77</v>
      </c>
      <c r="G8" s="336"/>
      <c r="H8" s="377"/>
      <c r="I8" s="336">
        <v>67.5</v>
      </c>
      <c r="J8" s="336"/>
      <c r="K8" s="336">
        <v>74</v>
      </c>
      <c r="L8" s="336">
        <v>59</v>
      </c>
      <c r="M8" s="336"/>
      <c r="N8" s="336">
        <v>39.5</v>
      </c>
      <c r="O8" s="336">
        <v>65</v>
      </c>
      <c r="P8" s="336">
        <v>83</v>
      </c>
      <c r="Q8" s="336"/>
      <c r="R8" s="336"/>
      <c r="S8" s="336"/>
      <c r="T8" s="336"/>
      <c r="U8" s="336"/>
      <c r="V8" s="336">
        <v>70</v>
      </c>
      <c r="W8" s="336">
        <v>89</v>
      </c>
      <c r="X8" s="336"/>
      <c r="Y8" s="336">
        <v>85</v>
      </c>
      <c r="Z8" s="336">
        <v>79</v>
      </c>
      <c r="AA8" s="336">
        <v>83.5</v>
      </c>
      <c r="AB8" s="336">
        <v>90.5</v>
      </c>
      <c r="AC8" s="336"/>
      <c r="AD8" s="336">
        <v>78</v>
      </c>
      <c r="AE8" s="336">
        <v>70</v>
      </c>
      <c r="AF8" s="336">
        <v>55</v>
      </c>
      <c r="AG8" s="336"/>
      <c r="AH8" s="336">
        <v>85</v>
      </c>
      <c r="AI8" s="336"/>
      <c r="AJ8" s="336">
        <v>42.5</v>
      </c>
      <c r="AK8" s="336">
        <v>65</v>
      </c>
      <c r="AL8" s="336"/>
      <c r="AM8" s="336">
        <v>82.5</v>
      </c>
      <c r="AN8" s="336"/>
      <c r="AO8" s="336">
        <v>56</v>
      </c>
      <c r="AP8" s="336">
        <v>71</v>
      </c>
      <c r="AQ8" s="336">
        <v>40</v>
      </c>
      <c r="AR8" s="336"/>
      <c r="AS8" s="336">
        <v>70</v>
      </c>
      <c r="AT8" s="336">
        <v>70</v>
      </c>
      <c r="AU8" s="336"/>
      <c r="AV8" s="336">
        <v>73</v>
      </c>
      <c r="AW8" s="336">
        <v>85</v>
      </c>
      <c r="AX8" s="336">
        <v>63</v>
      </c>
      <c r="AY8" s="336"/>
      <c r="AZ8" s="336"/>
      <c r="BA8" s="336"/>
      <c r="BB8" s="336"/>
      <c r="BC8" s="461">
        <f t="shared" si="1"/>
        <v>71.145161290322577</v>
      </c>
      <c r="BD8" s="379">
        <f t="shared" si="2"/>
        <v>71.145161290322577</v>
      </c>
      <c r="BE8" s="378">
        <f t="shared" si="0"/>
        <v>4</v>
      </c>
    </row>
    <row r="9" spans="1:57" s="221" customFormat="1" ht="20.25">
      <c r="A9" s="376">
        <v>8</v>
      </c>
      <c r="B9" s="376" t="s">
        <v>184</v>
      </c>
      <c r="C9" s="336">
        <v>50</v>
      </c>
      <c r="D9" s="336">
        <v>57.5</v>
      </c>
      <c r="E9" s="336">
        <v>52.5</v>
      </c>
      <c r="F9" s="336">
        <v>39</v>
      </c>
      <c r="G9" s="336"/>
      <c r="H9" s="381"/>
      <c r="I9" s="336">
        <v>32.5</v>
      </c>
      <c r="J9" s="336"/>
      <c r="K9" s="336">
        <v>58</v>
      </c>
      <c r="L9" s="336">
        <v>24.5</v>
      </c>
      <c r="M9" s="336"/>
      <c r="N9" s="336">
        <v>30</v>
      </c>
      <c r="O9" s="336">
        <v>37.5</v>
      </c>
      <c r="P9" s="336">
        <v>52</v>
      </c>
      <c r="Q9" s="336"/>
      <c r="R9" s="336"/>
      <c r="S9" s="336"/>
      <c r="T9" s="336"/>
      <c r="U9" s="336"/>
      <c r="V9" s="336">
        <v>35</v>
      </c>
      <c r="W9" s="336">
        <v>61</v>
      </c>
      <c r="X9" s="336"/>
      <c r="Y9" s="336">
        <v>30</v>
      </c>
      <c r="Z9" s="336">
        <v>65</v>
      </c>
      <c r="AA9" s="336">
        <v>66.5</v>
      </c>
      <c r="AB9" s="336">
        <v>56</v>
      </c>
      <c r="AC9" s="336"/>
      <c r="AD9" s="336">
        <v>45</v>
      </c>
      <c r="AE9" s="336">
        <v>22.5</v>
      </c>
      <c r="AF9" s="336">
        <v>48</v>
      </c>
      <c r="AG9" s="336"/>
      <c r="AH9" s="336">
        <v>45</v>
      </c>
      <c r="AI9" s="336"/>
      <c r="AJ9" s="336">
        <v>42.5</v>
      </c>
      <c r="AK9" s="336">
        <v>37</v>
      </c>
      <c r="AL9" s="336"/>
      <c r="AM9" s="336">
        <v>65</v>
      </c>
      <c r="AN9" s="336"/>
      <c r="AO9" s="336">
        <v>31</v>
      </c>
      <c r="AP9" s="336"/>
      <c r="AQ9" s="336"/>
      <c r="AR9" s="336"/>
      <c r="AS9" s="336">
        <v>59</v>
      </c>
      <c r="AT9" s="336">
        <v>58</v>
      </c>
      <c r="AU9" s="336">
        <v>47.5</v>
      </c>
      <c r="AV9" s="336">
        <v>53</v>
      </c>
      <c r="AW9" s="336">
        <v>47.5</v>
      </c>
      <c r="AX9" s="336">
        <v>49</v>
      </c>
      <c r="AY9" s="336"/>
      <c r="AZ9" s="336"/>
      <c r="BA9" s="336"/>
      <c r="BB9" s="336"/>
      <c r="BC9" s="461">
        <f t="shared" si="1"/>
        <v>46.56666666666667</v>
      </c>
      <c r="BD9" s="379">
        <f t="shared" si="2"/>
        <v>46.56666666666667</v>
      </c>
      <c r="BE9" s="378">
        <f t="shared" si="0"/>
        <v>13</v>
      </c>
    </row>
    <row r="10" spans="1:57" s="59" customFormat="1" ht="18.75" customHeight="1">
      <c r="A10" s="376">
        <v>9</v>
      </c>
      <c r="B10" s="376" t="s">
        <v>185</v>
      </c>
      <c r="C10" s="336">
        <v>49</v>
      </c>
      <c r="D10" s="336">
        <v>55</v>
      </c>
      <c r="E10" s="336">
        <v>32.5</v>
      </c>
      <c r="F10" s="336">
        <v>45</v>
      </c>
      <c r="G10" s="336"/>
      <c r="H10" s="377"/>
      <c r="I10" s="336">
        <v>37</v>
      </c>
      <c r="J10" s="336"/>
      <c r="K10" s="336">
        <v>70</v>
      </c>
      <c r="L10" s="336">
        <v>39.5</v>
      </c>
      <c r="M10" s="336"/>
      <c r="N10" s="336">
        <v>31.5</v>
      </c>
      <c r="O10" s="336">
        <v>55</v>
      </c>
      <c r="P10" s="336">
        <v>54</v>
      </c>
      <c r="Q10" s="336"/>
      <c r="R10" s="336"/>
      <c r="S10" s="336"/>
      <c r="T10" s="336"/>
      <c r="U10" s="336"/>
      <c r="V10" s="336">
        <v>35</v>
      </c>
      <c r="W10" s="336">
        <v>64</v>
      </c>
      <c r="X10" s="336"/>
      <c r="Y10" s="336">
        <v>37.5</v>
      </c>
      <c r="Z10" s="336">
        <v>71</v>
      </c>
      <c r="AA10" s="336">
        <v>72</v>
      </c>
      <c r="AB10" s="336">
        <v>72</v>
      </c>
      <c r="AC10" s="336"/>
      <c r="AD10" s="336">
        <v>59</v>
      </c>
      <c r="AE10" s="336">
        <v>52.5</v>
      </c>
      <c r="AF10" s="336">
        <v>51</v>
      </c>
      <c r="AG10" s="336"/>
      <c r="AH10" s="336">
        <v>60</v>
      </c>
      <c r="AI10" s="336"/>
      <c r="AJ10" s="336">
        <v>62.5</v>
      </c>
      <c r="AK10" s="336">
        <v>67</v>
      </c>
      <c r="AL10" s="336"/>
      <c r="AM10" s="336">
        <v>62.5</v>
      </c>
      <c r="AN10" s="336"/>
      <c r="AO10" s="336">
        <v>39</v>
      </c>
      <c r="AP10" s="336">
        <v>60</v>
      </c>
      <c r="AQ10" s="336"/>
      <c r="AR10" s="336"/>
      <c r="AS10" s="336">
        <v>61</v>
      </c>
      <c r="AT10" s="336">
        <v>64</v>
      </c>
      <c r="AU10" s="336">
        <v>37.5</v>
      </c>
      <c r="AV10" s="336">
        <v>51</v>
      </c>
      <c r="AW10" s="336">
        <v>45</v>
      </c>
      <c r="AX10" s="336">
        <v>71</v>
      </c>
      <c r="AY10" s="336"/>
      <c r="AZ10" s="336"/>
      <c r="BA10" s="336"/>
      <c r="BB10" s="336"/>
      <c r="BC10" s="461">
        <f t="shared" si="1"/>
        <v>53.645161290322584</v>
      </c>
      <c r="BD10" s="379">
        <f t="shared" si="2"/>
        <v>53.645161290322584</v>
      </c>
      <c r="BE10" s="378">
        <f t="shared" si="0"/>
        <v>11</v>
      </c>
    </row>
    <row r="11" spans="1:57" s="59" customFormat="1" ht="20.25">
      <c r="A11" s="376">
        <v>10</v>
      </c>
      <c r="B11" s="376" t="s">
        <v>186</v>
      </c>
      <c r="C11" s="336">
        <v>49</v>
      </c>
      <c r="D11" s="336">
        <v>65</v>
      </c>
      <c r="E11" s="336">
        <v>32.5</v>
      </c>
      <c r="F11" s="336">
        <v>58</v>
      </c>
      <c r="G11" s="336"/>
      <c r="H11" s="377"/>
      <c r="I11" s="336">
        <v>38.5</v>
      </c>
      <c r="J11" s="336"/>
      <c r="K11" s="336">
        <v>74</v>
      </c>
      <c r="L11" s="336">
        <v>44</v>
      </c>
      <c r="M11" s="336"/>
      <c r="N11" s="336">
        <v>28</v>
      </c>
      <c r="O11" s="336">
        <v>50</v>
      </c>
      <c r="P11" s="336">
        <v>46</v>
      </c>
      <c r="Q11" s="336"/>
      <c r="R11" s="336"/>
      <c r="S11" s="336"/>
      <c r="T11" s="336"/>
      <c r="U11" s="336"/>
      <c r="V11" s="336">
        <v>35</v>
      </c>
      <c r="W11" s="336">
        <v>62</v>
      </c>
      <c r="X11" s="336"/>
      <c r="Y11" s="336">
        <v>35</v>
      </c>
      <c r="Z11" s="336">
        <v>70</v>
      </c>
      <c r="AA11" s="336">
        <v>63</v>
      </c>
      <c r="AB11" s="336">
        <v>83</v>
      </c>
      <c r="AC11" s="336"/>
      <c r="AD11" s="336">
        <v>60</v>
      </c>
      <c r="AE11" s="336">
        <v>55</v>
      </c>
      <c r="AF11" s="336">
        <v>64</v>
      </c>
      <c r="AG11" s="336"/>
      <c r="AH11" s="336">
        <v>70</v>
      </c>
      <c r="AI11" s="336"/>
      <c r="AJ11" s="336">
        <v>42.5</v>
      </c>
      <c r="AK11" s="336">
        <v>58</v>
      </c>
      <c r="AL11" s="336"/>
      <c r="AM11" s="336">
        <v>75</v>
      </c>
      <c r="AN11" s="336"/>
      <c r="AO11" s="336">
        <v>35</v>
      </c>
      <c r="AP11" s="336"/>
      <c r="AQ11" s="336"/>
      <c r="AR11" s="336"/>
      <c r="AS11" s="336">
        <v>69</v>
      </c>
      <c r="AT11" s="336">
        <v>67</v>
      </c>
      <c r="AU11" s="336">
        <v>42.5</v>
      </c>
      <c r="AV11" s="336">
        <v>58</v>
      </c>
      <c r="AW11" s="336">
        <v>42.5</v>
      </c>
      <c r="AX11" s="336">
        <v>60</v>
      </c>
      <c r="AY11" s="336"/>
      <c r="AZ11" s="336"/>
      <c r="BA11" s="336"/>
      <c r="BB11" s="336"/>
      <c r="BC11" s="461">
        <f t="shared" si="1"/>
        <v>54.383333333333333</v>
      </c>
      <c r="BD11" s="379">
        <f t="shared" si="2"/>
        <v>54.383333333333333</v>
      </c>
      <c r="BE11" s="378">
        <f t="shared" si="0"/>
        <v>10</v>
      </c>
    </row>
    <row r="12" spans="1:57" s="221" customFormat="1" ht="20.25">
      <c r="A12" s="376">
        <v>11</v>
      </c>
      <c r="B12" s="376" t="s">
        <v>187</v>
      </c>
      <c r="C12" s="336">
        <v>51</v>
      </c>
      <c r="D12" s="336">
        <v>67.5</v>
      </c>
      <c r="E12" s="336">
        <v>100</v>
      </c>
      <c r="F12" s="336">
        <v>63</v>
      </c>
      <c r="G12" s="336"/>
      <c r="H12" s="381"/>
      <c r="I12" s="336">
        <v>42.5</v>
      </c>
      <c r="J12" s="336"/>
      <c r="K12" s="336">
        <v>72</v>
      </c>
      <c r="L12" s="336">
        <v>61.5</v>
      </c>
      <c r="M12" s="336"/>
      <c r="N12" s="336">
        <v>26.5</v>
      </c>
      <c r="O12" s="336">
        <v>67.5</v>
      </c>
      <c r="P12" s="336">
        <v>69</v>
      </c>
      <c r="Q12" s="336"/>
      <c r="R12" s="336"/>
      <c r="S12" s="336"/>
      <c r="T12" s="336"/>
      <c r="U12" s="336"/>
      <c r="V12" s="336">
        <v>65</v>
      </c>
      <c r="W12" s="336">
        <v>65</v>
      </c>
      <c r="X12" s="336"/>
      <c r="Y12" s="336">
        <v>100</v>
      </c>
      <c r="Z12" s="336">
        <v>78</v>
      </c>
      <c r="AA12" s="336">
        <v>62</v>
      </c>
      <c r="AB12" s="336">
        <v>81</v>
      </c>
      <c r="AC12" s="336"/>
      <c r="AD12" s="336">
        <v>63</v>
      </c>
      <c r="AE12" s="336">
        <v>45</v>
      </c>
      <c r="AF12" s="336">
        <v>66</v>
      </c>
      <c r="AG12" s="336"/>
      <c r="AH12" s="336">
        <v>57.5</v>
      </c>
      <c r="AI12" s="336"/>
      <c r="AJ12" s="336">
        <v>45</v>
      </c>
      <c r="AK12" s="336">
        <v>78</v>
      </c>
      <c r="AL12" s="336"/>
      <c r="AM12" s="336">
        <v>80</v>
      </c>
      <c r="AN12" s="336"/>
      <c r="AO12" s="336">
        <v>56</v>
      </c>
      <c r="AP12" s="336">
        <v>63.5</v>
      </c>
      <c r="AQ12" s="336"/>
      <c r="AR12" s="336">
        <v>37.5</v>
      </c>
      <c r="AS12" s="336">
        <v>76</v>
      </c>
      <c r="AT12" s="336">
        <v>72</v>
      </c>
      <c r="AU12" s="336">
        <v>45</v>
      </c>
      <c r="AV12" s="336">
        <v>59</v>
      </c>
      <c r="AW12" s="336">
        <v>55</v>
      </c>
      <c r="AX12" s="336">
        <v>68</v>
      </c>
      <c r="AY12" s="336"/>
      <c r="AZ12" s="336"/>
      <c r="BA12" s="336"/>
      <c r="BB12" s="336"/>
      <c r="BC12" s="461">
        <f t="shared" si="1"/>
        <v>63.6875</v>
      </c>
      <c r="BD12" s="379">
        <f t="shared" si="2"/>
        <v>63.6875</v>
      </c>
      <c r="BE12" s="378">
        <f t="shared" si="0"/>
        <v>7</v>
      </c>
    </row>
    <row r="13" spans="1:57" s="59" customFormat="1" ht="20.25">
      <c r="A13" s="376">
        <v>14</v>
      </c>
      <c r="B13" s="376" t="s">
        <v>188</v>
      </c>
      <c r="C13" s="336">
        <v>58</v>
      </c>
      <c r="D13" s="336">
        <v>67.5</v>
      </c>
      <c r="E13" s="336">
        <v>82.5</v>
      </c>
      <c r="F13" s="336">
        <v>54</v>
      </c>
      <c r="G13" s="336"/>
      <c r="H13" s="377"/>
      <c r="I13" s="336">
        <v>22.5</v>
      </c>
      <c r="J13" s="336"/>
      <c r="K13" s="336">
        <v>56</v>
      </c>
      <c r="L13" s="336">
        <v>33.5</v>
      </c>
      <c r="M13" s="336"/>
      <c r="N13" s="336">
        <v>23.5</v>
      </c>
      <c r="O13" s="336">
        <v>30</v>
      </c>
      <c r="P13" s="336">
        <v>52</v>
      </c>
      <c r="Q13" s="336"/>
      <c r="R13" s="336"/>
      <c r="S13" s="336"/>
      <c r="T13" s="336"/>
      <c r="U13" s="336"/>
      <c r="V13" s="336">
        <v>45</v>
      </c>
      <c r="W13" s="336">
        <v>65</v>
      </c>
      <c r="X13" s="336"/>
      <c r="Y13" s="336">
        <v>90</v>
      </c>
      <c r="Z13" s="336"/>
      <c r="AA13" s="336">
        <v>50</v>
      </c>
      <c r="AB13" s="336">
        <v>57</v>
      </c>
      <c r="AC13" s="336"/>
      <c r="AD13" s="336">
        <v>61</v>
      </c>
      <c r="AE13" s="336">
        <v>30</v>
      </c>
      <c r="AF13" s="336">
        <v>47</v>
      </c>
      <c r="AG13" s="336"/>
      <c r="AH13" s="336">
        <v>67.5</v>
      </c>
      <c r="AI13" s="336"/>
      <c r="AJ13" s="336">
        <v>62.5</v>
      </c>
      <c r="AK13" s="336">
        <v>51</v>
      </c>
      <c r="AL13" s="336"/>
      <c r="AM13" s="336"/>
      <c r="AN13" s="336"/>
      <c r="AO13" s="336">
        <v>35</v>
      </c>
      <c r="AP13" s="336">
        <v>66</v>
      </c>
      <c r="AQ13" s="336"/>
      <c r="AR13" s="336">
        <v>25</v>
      </c>
      <c r="AS13" s="336">
        <v>66</v>
      </c>
      <c r="AT13" s="336"/>
      <c r="AU13" s="336"/>
      <c r="AV13" s="336">
        <v>61</v>
      </c>
      <c r="AW13" s="336">
        <v>50</v>
      </c>
      <c r="AX13" s="336"/>
      <c r="AY13" s="336">
        <v>45</v>
      </c>
      <c r="AZ13" s="336"/>
      <c r="BA13" s="336"/>
      <c r="BB13" s="336"/>
      <c r="BC13" s="461">
        <f t="shared" si="1"/>
        <v>51.910714285714285</v>
      </c>
      <c r="BD13" s="379">
        <f t="shared" si="2"/>
        <v>51.910714285714285</v>
      </c>
      <c r="BE13" s="378">
        <f t="shared" si="0"/>
        <v>12</v>
      </c>
    </row>
    <row r="14" spans="1:57" s="59" customFormat="1" ht="20.25">
      <c r="A14" s="376">
        <v>15</v>
      </c>
      <c r="B14" s="376" t="s">
        <v>189</v>
      </c>
      <c r="C14" s="336">
        <v>58.5</v>
      </c>
      <c r="D14" s="336"/>
      <c r="E14" s="336">
        <v>45</v>
      </c>
      <c r="F14" s="336">
        <v>74</v>
      </c>
      <c r="G14" s="336"/>
      <c r="H14" s="377"/>
      <c r="I14" s="336">
        <v>63.5</v>
      </c>
      <c r="J14" s="336"/>
      <c r="K14" s="336">
        <v>75</v>
      </c>
      <c r="L14" s="336">
        <v>48</v>
      </c>
      <c r="M14" s="336"/>
      <c r="N14" s="336">
        <v>24</v>
      </c>
      <c r="O14" s="336">
        <v>67.5</v>
      </c>
      <c r="P14" s="336"/>
      <c r="Q14" s="336"/>
      <c r="R14" s="336"/>
      <c r="S14" s="336"/>
      <c r="T14" s="336"/>
      <c r="U14" s="336"/>
      <c r="V14" s="336"/>
      <c r="W14" s="336"/>
      <c r="X14" s="336"/>
      <c r="Y14" s="336">
        <v>35</v>
      </c>
      <c r="Z14" s="336"/>
      <c r="AA14" s="336">
        <v>54</v>
      </c>
      <c r="AB14" s="336">
        <v>78</v>
      </c>
      <c r="AC14" s="336"/>
      <c r="AD14" s="336">
        <v>72</v>
      </c>
      <c r="AE14" s="336">
        <v>32.5</v>
      </c>
      <c r="AF14" s="336">
        <v>59</v>
      </c>
      <c r="AG14" s="336"/>
      <c r="AH14" s="336">
        <v>87.5</v>
      </c>
      <c r="AI14" s="336"/>
      <c r="AJ14" s="336"/>
      <c r="AK14" s="336"/>
      <c r="AL14" s="336"/>
      <c r="AM14" s="336"/>
      <c r="AN14" s="336"/>
      <c r="AO14" s="336">
        <v>52</v>
      </c>
      <c r="AP14" s="336">
        <v>57.5</v>
      </c>
      <c r="AQ14" s="336"/>
      <c r="AR14" s="336"/>
      <c r="AS14" s="336"/>
      <c r="AT14" s="336"/>
      <c r="AU14" s="336"/>
      <c r="AV14" s="336"/>
      <c r="AW14" s="336"/>
      <c r="AX14" s="336">
        <v>82</v>
      </c>
      <c r="AY14" s="336"/>
      <c r="AZ14" s="336"/>
      <c r="BA14" s="336"/>
      <c r="BB14" s="336"/>
      <c r="BC14" s="461">
        <f t="shared" si="1"/>
        <v>59.166666666666664</v>
      </c>
      <c r="BD14" s="379">
        <f t="shared" si="2"/>
        <v>59.166666666666664</v>
      </c>
      <c r="BE14" s="378">
        <f t="shared" si="0"/>
        <v>9</v>
      </c>
    </row>
    <row r="15" spans="1:57" s="59" customFormat="1" ht="20.25">
      <c r="A15" s="376">
        <v>16</v>
      </c>
      <c r="B15" s="376" t="s">
        <v>190</v>
      </c>
      <c r="C15" s="336">
        <v>45</v>
      </c>
      <c r="D15" s="336">
        <v>67.5</v>
      </c>
      <c r="E15" s="336">
        <v>52.5</v>
      </c>
      <c r="F15" s="336">
        <v>84</v>
      </c>
      <c r="G15" s="336"/>
      <c r="H15" s="377"/>
      <c r="I15" s="336">
        <v>60</v>
      </c>
      <c r="J15" s="336"/>
      <c r="K15" s="336">
        <v>70</v>
      </c>
      <c r="L15" s="336">
        <v>49.5</v>
      </c>
      <c r="M15" s="336"/>
      <c r="N15" s="336">
        <v>27</v>
      </c>
      <c r="O15" s="336">
        <v>62.5</v>
      </c>
      <c r="P15" s="336"/>
      <c r="Q15" s="336"/>
      <c r="R15" s="336"/>
      <c r="S15" s="336"/>
      <c r="T15" s="336"/>
      <c r="U15" s="336"/>
      <c r="V15" s="336"/>
      <c r="W15" s="336">
        <v>76</v>
      </c>
      <c r="X15" s="336"/>
      <c r="Y15" s="336">
        <v>55</v>
      </c>
      <c r="Z15" s="336"/>
      <c r="AA15" s="336">
        <v>60</v>
      </c>
      <c r="AB15" s="336">
        <v>79</v>
      </c>
      <c r="AC15" s="336"/>
      <c r="AD15" s="336">
        <v>79</v>
      </c>
      <c r="AE15" s="336">
        <v>70</v>
      </c>
      <c r="AF15" s="336">
        <v>56</v>
      </c>
      <c r="AG15" s="336"/>
      <c r="AH15" s="336">
        <v>80</v>
      </c>
      <c r="AI15" s="336">
        <v>45</v>
      </c>
      <c r="AJ15" s="336">
        <v>42.5</v>
      </c>
      <c r="AK15" s="336">
        <v>55</v>
      </c>
      <c r="AL15" s="336"/>
      <c r="AM15" s="336"/>
      <c r="AN15" s="336"/>
      <c r="AO15" s="336">
        <v>37</v>
      </c>
      <c r="AP15" s="336">
        <v>57.5</v>
      </c>
      <c r="AQ15" s="336">
        <v>45</v>
      </c>
      <c r="AR15" s="336"/>
      <c r="AS15" s="336"/>
      <c r="AT15" s="336"/>
      <c r="AU15" s="336"/>
      <c r="AV15" s="336"/>
      <c r="AW15" s="336"/>
      <c r="AX15" s="336">
        <v>80</v>
      </c>
      <c r="AY15" s="336"/>
      <c r="AZ15" s="336">
        <v>55</v>
      </c>
      <c r="BA15" s="336"/>
      <c r="BB15" s="336"/>
      <c r="BC15" s="461">
        <f t="shared" si="1"/>
        <v>59.6</v>
      </c>
      <c r="BD15" s="379">
        <f t="shared" si="2"/>
        <v>59.6</v>
      </c>
      <c r="BE15" s="378">
        <f t="shared" si="0"/>
        <v>8</v>
      </c>
    </row>
    <row r="16" spans="1:57" s="146" customFormat="1" ht="20.25">
      <c r="A16" s="376">
        <v>17</v>
      </c>
      <c r="B16" s="376" t="s">
        <v>191</v>
      </c>
      <c r="C16" s="374">
        <v>61.5</v>
      </c>
      <c r="D16" s="374">
        <v>80</v>
      </c>
      <c r="E16" s="374">
        <v>85</v>
      </c>
      <c r="F16" s="374">
        <v>72</v>
      </c>
      <c r="G16" s="374"/>
      <c r="H16" s="377"/>
      <c r="I16" s="374">
        <v>68</v>
      </c>
      <c r="J16" s="374"/>
      <c r="K16" s="374">
        <v>75</v>
      </c>
      <c r="L16" s="374">
        <v>57.5</v>
      </c>
      <c r="M16" s="374"/>
      <c r="N16" s="374">
        <v>37.5</v>
      </c>
      <c r="O16" s="374">
        <v>60</v>
      </c>
      <c r="P16" s="374"/>
      <c r="Q16" s="374"/>
      <c r="R16" s="374"/>
      <c r="S16" s="374"/>
      <c r="T16" s="374"/>
      <c r="U16" s="374"/>
      <c r="V16" s="374">
        <v>62.5</v>
      </c>
      <c r="W16" s="374">
        <v>85</v>
      </c>
      <c r="X16" s="374"/>
      <c r="Y16" s="382">
        <v>80</v>
      </c>
      <c r="Z16" s="374"/>
      <c r="AA16" s="374">
        <v>70</v>
      </c>
      <c r="AB16" s="374">
        <v>96.5</v>
      </c>
      <c r="AC16" s="374"/>
      <c r="AD16" s="374">
        <v>76</v>
      </c>
      <c r="AE16" s="374">
        <v>57.5</v>
      </c>
      <c r="AF16" s="374">
        <v>56</v>
      </c>
      <c r="AG16" s="374"/>
      <c r="AH16" s="374">
        <v>90</v>
      </c>
      <c r="AI16" s="374">
        <v>67.5</v>
      </c>
      <c r="AJ16" s="374">
        <v>57.5</v>
      </c>
      <c r="AK16" s="374">
        <v>66</v>
      </c>
      <c r="AL16" s="374"/>
      <c r="AM16" s="374"/>
      <c r="AN16" s="374"/>
      <c r="AO16" s="374">
        <v>50</v>
      </c>
      <c r="AP16" s="374">
        <v>71</v>
      </c>
      <c r="AQ16" s="374">
        <v>60</v>
      </c>
      <c r="AR16" s="374"/>
      <c r="AS16" s="374"/>
      <c r="AT16" s="374"/>
      <c r="AU16" s="374"/>
      <c r="AV16" s="374"/>
      <c r="AW16" s="374">
        <v>62.5</v>
      </c>
      <c r="AX16" s="374">
        <v>87</v>
      </c>
      <c r="AY16" s="374">
        <v>62</v>
      </c>
      <c r="AZ16" s="374">
        <v>74</v>
      </c>
      <c r="BA16" s="374">
        <v>62.5</v>
      </c>
      <c r="BB16" s="374"/>
      <c r="BC16" s="461">
        <f t="shared" si="1"/>
        <v>68.620689655172413</v>
      </c>
      <c r="BD16" s="379">
        <f t="shared" si="2"/>
        <v>68.620689655172413</v>
      </c>
      <c r="BE16" s="378">
        <f>RANK(BD16,$BD$4:$BD$16)</f>
        <v>5</v>
      </c>
    </row>
    <row r="17" spans="3:56"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49"/>
      <c r="BD17" s="177"/>
    </row>
    <row r="18" spans="3:56">
      <c r="C18"/>
      <c r="BC18" s="250"/>
      <c r="BD18" s="255"/>
    </row>
    <row r="19" spans="3:56" ht="18" customHeight="1">
      <c r="C19" s="527"/>
      <c r="D19" s="527"/>
      <c r="E19" s="527"/>
      <c r="F19" s="532"/>
      <c r="G19" s="527"/>
      <c r="H19" s="526"/>
      <c r="I19" s="527"/>
      <c r="J19" s="527"/>
      <c r="K19" s="527"/>
      <c r="L19" s="527"/>
      <c r="M19" s="526"/>
      <c r="N19" s="527"/>
      <c r="O19" s="526"/>
      <c r="P19" s="530"/>
      <c r="Q19" s="527"/>
      <c r="R19" s="531"/>
      <c r="S19" s="527"/>
      <c r="T19" s="527"/>
      <c r="U19" s="527"/>
      <c r="V19" s="527"/>
      <c r="W19" s="527"/>
      <c r="X19" s="527"/>
      <c r="Y19" s="527"/>
      <c r="Z19" s="527"/>
      <c r="AA19" s="527"/>
      <c r="AB19" s="526"/>
      <c r="AC19" s="527"/>
      <c r="AD19" s="527"/>
      <c r="AE19" s="527"/>
      <c r="AF19" s="525"/>
      <c r="AG19" s="526"/>
      <c r="AH19" s="527"/>
      <c r="AI19" s="527"/>
      <c r="AJ19" s="527"/>
      <c r="AK19" s="526"/>
      <c r="AL19" s="529"/>
      <c r="AM19" s="525"/>
      <c r="AN19" s="527"/>
      <c r="AO19" s="527"/>
      <c r="AP19" s="528"/>
      <c r="AQ19" s="528"/>
      <c r="AR19" s="528"/>
      <c r="AS19" s="528"/>
      <c r="AT19" s="528"/>
      <c r="AU19" s="470"/>
      <c r="AV19" s="470"/>
      <c r="AW19" s="470"/>
      <c r="AX19" s="470"/>
      <c r="AY19" s="470"/>
      <c r="AZ19" s="470"/>
      <c r="BA19" s="470"/>
      <c r="BB19" s="470"/>
    </row>
    <row r="20" spans="3:56" ht="12.75" customHeight="1">
      <c r="C20" s="527"/>
      <c r="D20" s="527"/>
      <c r="E20" s="527"/>
      <c r="F20" s="532"/>
      <c r="G20" s="527"/>
      <c r="H20" s="526"/>
      <c r="I20" s="527"/>
      <c r="J20" s="527"/>
      <c r="K20" s="527"/>
      <c r="L20" s="527"/>
      <c r="M20" s="526"/>
      <c r="N20" s="527"/>
      <c r="O20" s="526"/>
      <c r="P20" s="530"/>
      <c r="Q20" s="527"/>
      <c r="R20" s="531"/>
      <c r="S20" s="527"/>
      <c r="T20" s="527"/>
      <c r="U20" s="527"/>
      <c r="V20" s="527"/>
      <c r="W20" s="527"/>
      <c r="X20" s="527"/>
      <c r="Y20" s="527"/>
      <c r="Z20" s="527"/>
      <c r="AA20" s="527"/>
      <c r="AB20" s="526"/>
      <c r="AC20" s="527"/>
      <c r="AD20" s="527"/>
      <c r="AE20" s="527"/>
      <c r="AF20" s="525"/>
      <c r="AG20" s="526"/>
      <c r="AH20" s="527"/>
      <c r="AI20" s="527"/>
      <c r="AJ20" s="527"/>
      <c r="AK20" s="526"/>
      <c r="AL20" s="529"/>
      <c r="AM20" s="525"/>
      <c r="AN20" s="527"/>
      <c r="AO20" s="527"/>
      <c r="AP20" s="528"/>
      <c r="AQ20" s="528"/>
      <c r="AR20" s="528"/>
      <c r="AS20" s="528"/>
      <c r="AT20" s="528"/>
      <c r="AU20" s="470"/>
      <c r="AV20" s="470"/>
      <c r="AW20" s="470"/>
      <c r="AX20" s="470"/>
      <c r="AY20" s="470"/>
      <c r="AZ20" s="470"/>
      <c r="BA20" s="470"/>
      <c r="BB20" s="470"/>
    </row>
    <row r="21" spans="3:56" ht="12.75" customHeight="1">
      <c r="C21" s="527"/>
      <c r="D21" s="527"/>
      <c r="E21" s="527"/>
      <c r="F21" s="532"/>
      <c r="G21" s="527"/>
      <c r="H21" s="526"/>
      <c r="I21" s="527"/>
      <c r="J21" s="527"/>
      <c r="K21" s="527"/>
      <c r="L21" s="527"/>
      <c r="M21" s="526"/>
      <c r="N21" s="527"/>
      <c r="O21" s="526"/>
      <c r="P21" s="530"/>
      <c r="Q21" s="527"/>
      <c r="R21" s="531"/>
      <c r="S21" s="527"/>
      <c r="T21" s="527"/>
      <c r="U21" s="527"/>
      <c r="V21" s="527"/>
      <c r="W21" s="527"/>
      <c r="X21" s="527"/>
      <c r="Y21" s="527"/>
      <c r="Z21" s="527"/>
      <c r="AA21" s="527"/>
      <c r="AB21" s="526"/>
      <c r="AC21" s="527"/>
      <c r="AD21" s="527"/>
      <c r="AE21" s="527"/>
      <c r="AF21" s="525"/>
      <c r="AG21" s="526"/>
      <c r="AH21" s="527"/>
      <c r="AI21" s="527"/>
      <c r="AJ21" s="527"/>
      <c r="AK21" s="526"/>
      <c r="AL21" s="529"/>
      <c r="AM21" s="525"/>
      <c r="AN21" s="527"/>
      <c r="AO21" s="527"/>
      <c r="AP21" s="528"/>
      <c r="AQ21" s="528"/>
      <c r="AR21" s="528"/>
      <c r="AS21" s="528"/>
      <c r="AT21" s="528"/>
      <c r="AU21" s="470"/>
      <c r="AV21" s="470"/>
      <c r="AW21" s="470"/>
      <c r="AX21" s="470"/>
      <c r="AY21" s="470"/>
      <c r="AZ21" s="470"/>
      <c r="BA21" s="470"/>
      <c r="BB21" s="470"/>
    </row>
    <row r="22" spans="3:56" ht="12.75" customHeight="1">
      <c r="C22" s="527"/>
      <c r="D22" s="527"/>
      <c r="E22" s="527"/>
      <c r="F22" s="532"/>
      <c r="G22" s="527"/>
      <c r="H22" s="526"/>
      <c r="I22" s="527"/>
      <c r="J22" s="527"/>
      <c r="K22" s="527"/>
      <c r="L22" s="527"/>
      <c r="M22" s="526"/>
      <c r="N22" s="527"/>
      <c r="O22" s="526"/>
      <c r="P22" s="530"/>
      <c r="Q22" s="527"/>
      <c r="R22" s="531"/>
      <c r="S22" s="527"/>
      <c r="T22" s="527"/>
      <c r="U22" s="527"/>
      <c r="V22" s="527"/>
      <c r="W22" s="527"/>
      <c r="X22" s="527"/>
      <c r="Y22" s="527"/>
      <c r="Z22" s="527"/>
      <c r="AA22" s="527"/>
      <c r="AB22" s="526"/>
      <c r="AC22" s="527"/>
      <c r="AD22" s="527"/>
      <c r="AE22" s="527"/>
      <c r="AF22" s="525"/>
      <c r="AG22" s="526"/>
      <c r="AH22" s="527"/>
      <c r="AI22" s="527"/>
      <c r="AJ22" s="527"/>
      <c r="AK22" s="526"/>
      <c r="AL22" s="529"/>
      <c r="AM22" s="525"/>
      <c r="AN22" s="527"/>
      <c r="AO22" s="527"/>
      <c r="AP22" s="528"/>
      <c r="AQ22" s="528"/>
      <c r="AR22" s="528"/>
      <c r="AS22" s="528"/>
      <c r="AT22" s="528"/>
      <c r="AU22" s="470"/>
      <c r="AV22" s="470"/>
      <c r="AW22" s="470"/>
      <c r="AX22" s="470"/>
      <c r="AY22" s="470"/>
      <c r="AZ22" s="470"/>
      <c r="BA22" s="470"/>
      <c r="BB22" s="470"/>
    </row>
    <row r="23" spans="3:56" ht="12.75" customHeight="1">
      <c r="C23" s="527"/>
      <c r="D23" s="527"/>
      <c r="E23" s="527"/>
      <c r="F23" s="532"/>
      <c r="G23" s="527"/>
      <c r="H23" s="526"/>
      <c r="I23" s="527"/>
      <c r="J23" s="527"/>
      <c r="K23" s="527"/>
      <c r="L23" s="527"/>
      <c r="M23" s="526"/>
      <c r="N23" s="527"/>
      <c r="O23" s="526"/>
      <c r="P23" s="530"/>
      <c r="Q23" s="527"/>
      <c r="R23" s="531"/>
      <c r="S23" s="527"/>
      <c r="T23" s="527"/>
      <c r="U23" s="527"/>
      <c r="V23" s="527"/>
      <c r="W23" s="527"/>
      <c r="X23" s="527"/>
      <c r="Y23" s="527"/>
      <c r="Z23" s="527"/>
      <c r="AA23" s="527"/>
      <c r="AB23" s="526"/>
      <c r="AC23" s="527"/>
      <c r="AD23" s="527"/>
      <c r="AE23" s="527"/>
      <c r="AF23" s="525"/>
      <c r="AG23" s="526"/>
      <c r="AH23" s="527"/>
      <c r="AI23" s="527"/>
      <c r="AJ23" s="527"/>
      <c r="AK23" s="526"/>
      <c r="AL23" s="529"/>
      <c r="AM23" s="525"/>
      <c r="AN23" s="527"/>
      <c r="AO23" s="527"/>
      <c r="AP23" s="528"/>
      <c r="AQ23" s="528"/>
      <c r="AR23" s="528"/>
      <c r="AS23" s="528"/>
      <c r="AT23" s="528"/>
      <c r="AU23" s="470"/>
      <c r="AV23" s="470"/>
      <c r="AW23" s="470"/>
      <c r="AX23" s="470"/>
      <c r="AY23" s="470"/>
      <c r="AZ23" s="470"/>
      <c r="BA23" s="470"/>
      <c r="BB23" s="470"/>
    </row>
    <row r="24" spans="3:56" ht="25.5" customHeight="1">
      <c r="C24" s="527"/>
      <c r="D24" s="527"/>
      <c r="E24" s="527"/>
      <c r="F24" s="532"/>
      <c r="G24" s="527"/>
      <c r="H24" s="526"/>
      <c r="I24" s="527"/>
      <c r="J24" s="527"/>
      <c r="K24" s="527"/>
      <c r="L24" s="527"/>
      <c r="M24" s="526"/>
      <c r="N24" s="527"/>
      <c r="O24" s="526"/>
      <c r="P24" s="530"/>
      <c r="Q24" s="527"/>
      <c r="R24" s="531"/>
      <c r="S24" s="527"/>
      <c r="T24" s="527"/>
      <c r="U24" s="527"/>
      <c r="V24" s="527"/>
      <c r="W24" s="527"/>
      <c r="X24" s="527"/>
      <c r="Y24" s="527"/>
      <c r="Z24" s="527"/>
      <c r="AA24" s="527"/>
      <c r="AB24" s="526"/>
      <c r="AC24" s="527"/>
      <c r="AD24" s="527"/>
      <c r="AE24" s="527"/>
      <c r="AF24" s="525"/>
      <c r="AG24" s="526"/>
      <c r="AH24" s="527"/>
      <c r="AI24" s="527"/>
      <c r="AJ24" s="527"/>
      <c r="AK24" s="526"/>
      <c r="AL24" s="529"/>
      <c r="AM24" s="525"/>
      <c r="AN24" s="527"/>
      <c r="AO24" s="527"/>
      <c r="AP24" s="528"/>
      <c r="AQ24" s="528"/>
      <c r="AR24" s="528"/>
      <c r="AS24" s="528"/>
      <c r="AT24" s="528"/>
      <c r="AU24" s="470"/>
      <c r="AV24" s="470"/>
      <c r="AW24" s="470"/>
      <c r="AX24" s="470"/>
      <c r="AY24" s="470"/>
      <c r="AZ24" s="470"/>
      <c r="BA24" s="470"/>
      <c r="BB24" s="470"/>
    </row>
    <row r="25" spans="3:56" ht="12.75" customHeight="1">
      <c r="C25" s="527"/>
      <c r="D25" s="527"/>
      <c r="E25" s="527"/>
      <c r="F25" s="532"/>
      <c r="G25" s="527"/>
      <c r="H25" s="526"/>
      <c r="I25" s="527"/>
      <c r="J25" s="527"/>
      <c r="K25" s="527"/>
      <c r="L25" s="527"/>
      <c r="M25" s="526"/>
      <c r="N25" s="527"/>
      <c r="O25" s="526"/>
      <c r="P25" s="530"/>
      <c r="Q25" s="527"/>
      <c r="R25" s="531"/>
      <c r="S25" s="527"/>
      <c r="T25" s="527"/>
      <c r="U25" s="527"/>
      <c r="V25" s="527"/>
      <c r="W25" s="527"/>
      <c r="X25" s="527"/>
      <c r="Y25" s="527"/>
      <c r="Z25" s="527"/>
      <c r="AA25" s="527"/>
      <c r="AB25" s="526"/>
      <c r="AC25" s="527"/>
      <c r="AD25" s="527"/>
      <c r="AE25" s="527"/>
      <c r="AF25" s="525"/>
      <c r="AG25" s="526"/>
      <c r="AH25" s="527"/>
      <c r="AI25" s="527"/>
      <c r="AJ25" s="527"/>
      <c r="AK25" s="526"/>
      <c r="AL25" s="529"/>
      <c r="AM25" s="525"/>
      <c r="AN25" s="527"/>
      <c r="AO25" s="527"/>
      <c r="AP25" s="528"/>
      <c r="AQ25" s="528"/>
      <c r="AR25" s="528"/>
      <c r="AS25" s="528"/>
      <c r="AT25" s="528"/>
      <c r="AU25" s="470"/>
      <c r="AV25" s="470"/>
      <c r="AW25" s="470"/>
      <c r="AX25" s="470"/>
      <c r="AY25" s="470"/>
      <c r="AZ25" s="470"/>
      <c r="BA25" s="470"/>
      <c r="BB25" s="470"/>
    </row>
    <row r="26" spans="3:56" ht="12.75" customHeight="1">
      <c r="C26" s="527"/>
      <c r="D26" s="527"/>
      <c r="E26" s="527"/>
      <c r="F26" s="532"/>
      <c r="G26" s="527"/>
      <c r="H26" s="526"/>
      <c r="I26" s="527"/>
      <c r="J26" s="527"/>
      <c r="K26" s="527"/>
      <c r="L26" s="527"/>
      <c r="M26" s="526"/>
      <c r="N26" s="527"/>
      <c r="O26" s="526"/>
      <c r="P26" s="530"/>
      <c r="Q26" s="527"/>
      <c r="R26" s="531"/>
      <c r="S26" s="527"/>
      <c r="T26" s="527"/>
      <c r="U26" s="527"/>
      <c r="V26" s="527"/>
      <c r="W26" s="527"/>
      <c r="X26" s="527"/>
      <c r="Y26" s="527"/>
      <c r="Z26" s="527"/>
      <c r="AA26" s="527"/>
      <c r="AB26" s="526"/>
      <c r="AC26" s="527"/>
      <c r="AD26" s="527"/>
      <c r="AE26" s="527"/>
      <c r="AF26" s="525"/>
      <c r="AG26" s="526"/>
      <c r="AH26" s="527"/>
      <c r="AI26" s="527"/>
      <c r="AJ26" s="527"/>
      <c r="AK26" s="526"/>
      <c r="AL26" s="529"/>
      <c r="AM26" s="525"/>
      <c r="AN26" s="527"/>
      <c r="AO26" s="527"/>
      <c r="AP26" s="528"/>
      <c r="AQ26" s="528"/>
      <c r="AR26" s="528"/>
      <c r="AS26" s="528"/>
      <c r="AT26" s="528"/>
      <c r="AU26" s="470"/>
      <c r="AV26" s="470"/>
      <c r="AW26" s="470"/>
      <c r="AX26" s="470"/>
      <c r="AY26" s="470"/>
      <c r="AZ26" s="470"/>
      <c r="BA26" s="470"/>
      <c r="BB26" s="470"/>
    </row>
    <row r="27" spans="3:56" ht="20.25">
      <c r="C27" s="380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F27" s="376"/>
      <c r="AG27" s="376"/>
      <c r="AH27" s="376"/>
      <c r="AI27" s="376"/>
      <c r="AJ27" s="376"/>
      <c r="AK27" s="376"/>
      <c r="AL27" s="376"/>
      <c r="AM27" s="376"/>
      <c r="AN27" s="376"/>
      <c r="AO27" s="376"/>
    </row>
    <row r="28" spans="3:56">
      <c r="G28" s="3"/>
    </row>
  </sheetData>
  <mergeCells count="44">
    <mergeCell ref="M19:M26"/>
    <mergeCell ref="C19:C26"/>
    <mergeCell ref="D19:D26"/>
    <mergeCell ref="E19:E26"/>
    <mergeCell ref="H19:H26"/>
    <mergeCell ref="I19:I26"/>
    <mergeCell ref="J19:J26"/>
    <mergeCell ref="K19:K26"/>
    <mergeCell ref="L19:L26"/>
    <mergeCell ref="F19:F26"/>
    <mergeCell ref="Y19:Y26"/>
    <mergeCell ref="N19:N26"/>
    <mergeCell ref="O19:O26"/>
    <mergeCell ref="P19:P26"/>
    <mergeCell ref="Q19:Q26"/>
    <mergeCell ref="R19:R26"/>
    <mergeCell ref="S19:S26"/>
    <mergeCell ref="AT19:AT26"/>
    <mergeCell ref="AJ19:AJ26"/>
    <mergeCell ref="AK19:AK26"/>
    <mergeCell ref="AL19:AL26"/>
    <mergeCell ref="AM19:AM26"/>
    <mergeCell ref="AQ19:AQ26"/>
    <mergeCell ref="AR19:AR26"/>
    <mergeCell ref="AS19:AS26"/>
    <mergeCell ref="AN19:AN26"/>
    <mergeCell ref="AO19:AO26"/>
    <mergeCell ref="AP19:AP26"/>
    <mergeCell ref="AF19:AF26"/>
    <mergeCell ref="AG19:AG26"/>
    <mergeCell ref="AH19:AH26"/>
    <mergeCell ref="AI19:AI26"/>
    <mergeCell ref="G19:G26"/>
    <mergeCell ref="Z19:Z26"/>
    <mergeCell ref="AA19:AA26"/>
    <mergeCell ref="AB19:AB26"/>
    <mergeCell ref="AC19:AC26"/>
    <mergeCell ref="AD19:AD26"/>
    <mergeCell ref="AE19:AE26"/>
    <mergeCell ref="T19:T26"/>
    <mergeCell ref="U19:U26"/>
    <mergeCell ref="V19:V26"/>
    <mergeCell ref="W19:W26"/>
    <mergeCell ref="X19:X26"/>
  </mergeCells>
  <phoneticPr fontId="25" type="noConversion"/>
  <printOptions gridLines="1"/>
  <pageMargins left="0.21" right="0.2" top="1" bottom="1" header="0.5" footer="0.5"/>
  <pageSetup scale="39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K69"/>
  <sheetViews>
    <sheetView zoomScaleNormal="100" workbookViewId="0"/>
  </sheetViews>
  <sheetFormatPr defaultColWidth="8.85546875" defaultRowHeight="12.75"/>
  <cols>
    <col min="2" max="2" width="55.5703125" customWidth="1"/>
    <col min="3" max="3" width="9.5703125" customWidth="1"/>
    <col min="4" max="4" width="10" customWidth="1"/>
    <col min="5" max="6" width="11.42578125" customWidth="1"/>
    <col min="7" max="7" width="14.42578125" customWidth="1"/>
    <col min="8" max="8" width="12.5703125" customWidth="1"/>
    <col min="9" max="9" width="12.42578125" customWidth="1"/>
    <col min="10" max="10" width="11" customWidth="1"/>
  </cols>
  <sheetData>
    <row r="1" spans="1:11" ht="18.75">
      <c r="B1" s="314" t="s">
        <v>205</v>
      </c>
      <c r="C1" s="8"/>
      <c r="D1" s="6"/>
      <c r="E1" s="9"/>
      <c r="F1" s="346"/>
      <c r="G1" s="34"/>
      <c r="H1" s="6"/>
      <c r="I1" s="6"/>
    </row>
    <row r="2" spans="1:11" s="59" customFormat="1" ht="12.75" customHeight="1">
      <c r="B2" s="34"/>
      <c r="C2" s="34"/>
      <c r="D2" s="34"/>
      <c r="E2" s="164" t="s">
        <v>15</v>
      </c>
      <c r="F2" s="165">
        <f>MIN(E5:E17)</f>
        <v>5.86</v>
      </c>
      <c r="G2" s="34" t="s">
        <v>16</v>
      </c>
      <c r="H2" s="34"/>
      <c r="I2" s="34"/>
      <c r="J2" s="165">
        <f>MAX(J5:J17)</f>
        <v>57</v>
      </c>
    </row>
    <row r="3" spans="1:11">
      <c r="B3" s="180"/>
      <c r="C3" s="448"/>
      <c r="D3" s="12"/>
      <c r="E3" s="166" t="s">
        <v>73</v>
      </c>
      <c r="F3" s="165">
        <f>MAX(E5:E17)</f>
        <v>8.36</v>
      </c>
      <c r="G3" s="199" t="s">
        <v>16</v>
      </c>
      <c r="H3" s="180" t="s">
        <v>204</v>
      </c>
      <c r="J3" s="165">
        <f>MIN(J5:J17)</f>
        <v>41</v>
      </c>
    </row>
    <row r="4" spans="1:11" ht="27" customHeight="1" thickBot="1">
      <c r="B4" s="10"/>
      <c r="C4" s="35" t="s">
        <v>29</v>
      </c>
      <c r="D4" s="35" t="s">
        <v>30</v>
      </c>
      <c r="E4" s="35" t="s">
        <v>36</v>
      </c>
      <c r="F4" s="32" t="s">
        <v>9</v>
      </c>
      <c r="G4" s="5" t="s">
        <v>27</v>
      </c>
      <c r="H4" s="403" t="s">
        <v>173</v>
      </c>
      <c r="I4" s="403" t="s">
        <v>174</v>
      </c>
      <c r="J4" s="404" t="s">
        <v>175</v>
      </c>
      <c r="K4" s="5" t="s">
        <v>27</v>
      </c>
    </row>
    <row r="5" spans="1:11" ht="20.25">
      <c r="A5" s="376">
        <v>1</v>
      </c>
      <c r="B5" s="376" t="s">
        <v>179</v>
      </c>
      <c r="C5" s="471">
        <v>7.41</v>
      </c>
      <c r="D5" s="471">
        <v>8.75</v>
      </c>
      <c r="E5" s="337">
        <f t="shared" ref="E5:E17" si="0">MIN(C5:D5)</f>
        <v>7.41</v>
      </c>
      <c r="F5" s="201">
        <f>IF(E5&gt;=10,2.5,(-$E$21*E5+$E$22))</f>
        <v>19</v>
      </c>
      <c r="G5" s="417">
        <f>RANK(F5,$F$5:$F$17)</f>
        <v>7</v>
      </c>
      <c r="H5" s="449">
        <v>44</v>
      </c>
      <c r="I5" s="450">
        <v>42</v>
      </c>
      <c r="J5" s="405">
        <f>MAX(H5:I5)</f>
        <v>44</v>
      </c>
      <c r="K5" s="417">
        <f>RANK(J5,$J$5:$J$17)</f>
        <v>5</v>
      </c>
    </row>
    <row r="6" spans="1:11" ht="20.25">
      <c r="A6" s="376">
        <v>2</v>
      </c>
      <c r="B6" s="376" t="s">
        <v>180</v>
      </c>
      <c r="C6" s="471">
        <v>9.9</v>
      </c>
      <c r="D6" s="471">
        <v>7.31</v>
      </c>
      <c r="E6" s="337">
        <f t="shared" si="0"/>
        <v>7.31</v>
      </c>
      <c r="F6" s="201">
        <f>IF(E6&gt;=10,2.5,(-$E$21*E6+$E$22))</f>
        <v>21</v>
      </c>
      <c r="G6" s="5">
        <f>RANK(F6,$F$5:$F$17)</f>
        <v>5</v>
      </c>
      <c r="H6" s="451">
        <v>25</v>
      </c>
      <c r="I6" s="452">
        <v>41</v>
      </c>
      <c r="J6" s="405">
        <f>MAX(H6:I6)</f>
        <v>41</v>
      </c>
      <c r="K6" s="5">
        <f>RANK(J6,$J$5:$J$17)</f>
        <v>7</v>
      </c>
    </row>
    <row r="7" spans="1:11" ht="20.25">
      <c r="A7" s="376">
        <v>3</v>
      </c>
      <c r="B7" s="376" t="s">
        <v>181</v>
      </c>
      <c r="C7" s="471">
        <v>7.98</v>
      </c>
      <c r="D7" s="471">
        <v>8.5</v>
      </c>
      <c r="E7" s="337">
        <f t="shared" si="0"/>
        <v>7.98</v>
      </c>
      <c r="F7" s="201">
        <f t="shared" ref="F7:F17" si="1">IF(E7&gt;=10,2.5,(-$E$21*E7+$E$22))</f>
        <v>7.5999999999999943</v>
      </c>
      <c r="G7" s="5">
        <f>RANK(F7,$F$5:$F$17)</f>
        <v>8</v>
      </c>
      <c r="H7" s="451">
        <v>38</v>
      </c>
      <c r="I7" s="452">
        <v>46</v>
      </c>
      <c r="J7" s="405">
        <f>MAX(H7:I7)</f>
        <v>46</v>
      </c>
      <c r="K7" s="5">
        <f>RANK(J7,$J$5:$J$17)</f>
        <v>4</v>
      </c>
    </row>
    <row r="8" spans="1:11" s="177" customFormat="1" ht="20.25">
      <c r="A8" s="376">
        <v>4</v>
      </c>
      <c r="B8" s="376" t="s">
        <v>182</v>
      </c>
      <c r="C8" s="471">
        <v>5.86</v>
      </c>
      <c r="D8" s="471">
        <v>6.9</v>
      </c>
      <c r="E8" s="337">
        <f t="shared" si="0"/>
        <v>5.86</v>
      </c>
      <c r="F8" s="201">
        <f t="shared" si="1"/>
        <v>50</v>
      </c>
      <c r="G8" s="417">
        <f t="shared" ref="G8:G14" si="2">RANK(F8,$F$5:$F$17)</f>
        <v>1</v>
      </c>
      <c r="H8" s="451">
        <v>57</v>
      </c>
      <c r="I8" s="453">
        <v>56</v>
      </c>
      <c r="J8" s="405">
        <f>MAX(H8:I8)</f>
        <v>57</v>
      </c>
      <c r="K8" s="417">
        <f>RANK(J8,$J$5:$J$17)</f>
        <v>1</v>
      </c>
    </row>
    <row r="9" spans="1:11" ht="20.25">
      <c r="A9" s="376">
        <v>7</v>
      </c>
      <c r="B9" s="376" t="s">
        <v>183</v>
      </c>
      <c r="C9" s="471">
        <v>6.3</v>
      </c>
      <c r="D9" s="471">
        <v>7.27</v>
      </c>
      <c r="E9" s="337">
        <f t="shared" si="0"/>
        <v>6.3</v>
      </c>
      <c r="F9" s="201">
        <f t="shared" si="1"/>
        <v>41.2</v>
      </c>
      <c r="G9" s="417">
        <f t="shared" si="2"/>
        <v>3</v>
      </c>
      <c r="H9" s="451">
        <v>43</v>
      </c>
      <c r="I9" s="452">
        <v>44</v>
      </c>
      <c r="J9" s="405">
        <f>MAX(H9:I9)</f>
        <v>44</v>
      </c>
      <c r="K9" s="5">
        <f>RANK(J9,$J$5:$J$17)</f>
        <v>5</v>
      </c>
    </row>
    <row r="10" spans="1:11" ht="20.25">
      <c r="A10" s="376">
        <v>8</v>
      </c>
      <c r="B10" s="376" t="s">
        <v>184</v>
      </c>
      <c r="C10" s="471" t="s">
        <v>148</v>
      </c>
      <c r="D10" s="471" t="s">
        <v>148</v>
      </c>
      <c r="E10" s="337" t="s">
        <v>42</v>
      </c>
      <c r="F10" s="201">
        <v>0</v>
      </c>
      <c r="G10" s="417">
        <f t="shared" si="2"/>
        <v>9</v>
      </c>
      <c r="H10" s="451"/>
      <c r="I10" s="452"/>
      <c r="J10" s="405"/>
      <c r="K10" s="5"/>
    </row>
    <row r="11" spans="1:11" ht="20.25">
      <c r="A11" s="376">
        <v>9</v>
      </c>
      <c r="B11" s="376" t="s">
        <v>185</v>
      </c>
      <c r="C11" s="471" t="s">
        <v>148</v>
      </c>
      <c r="D11" s="471" t="s">
        <v>148</v>
      </c>
      <c r="E11" s="337" t="s">
        <v>42</v>
      </c>
      <c r="F11" s="201">
        <v>0</v>
      </c>
      <c r="G11" s="417">
        <f t="shared" si="2"/>
        <v>9</v>
      </c>
      <c r="H11" s="451"/>
      <c r="I11" s="452"/>
      <c r="J11" s="405" t="s">
        <v>42</v>
      </c>
      <c r="K11" s="417" t="s">
        <v>42</v>
      </c>
    </row>
    <row r="12" spans="1:11" ht="20.25">
      <c r="A12" s="376">
        <v>10</v>
      </c>
      <c r="B12" s="376" t="s">
        <v>186</v>
      </c>
      <c r="C12" s="471" t="s">
        <v>148</v>
      </c>
      <c r="D12" s="471" t="s">
        <v>148</v>
      </c>
      <c r="E12" s="337" t="s">
        <v>42</v>
      </c>
      <c r="F12" s="201">
        <v>0</v>
      </c>
      <c r="G12" s="417">
        <f t="shared" si="2"/>
        <v>9</v>
      </c>
      <c r="H12" s="451"/>
      <c r="I12" s="452"/>
      <c r="J12" s="405"/>
      <c r="K12" s="5"/>
    </row>
    <row r="13" spans="1:11" ht="20.25">
      <c r="A13" s="376">
        <v>11</v>
      </c>
      <c r="B13" s="376" t="s">
        <v>187</v>
      </c>
      <c r="C13" s="471">
        <v>6.22</v>
      </c>
      <c r="D13" s="471">
        <v>6.79</v>
      </c>
      <c r="E13" s="337">
        <f t="shared" si="0"/>
        <v>6.22</v>
      </c>
      <c r="F13" s="201">
        <f t="shared" si="1"/>
        <v>42.800000000000011</v>
      </c>
      <c r="G13" s="417">
        <f t="shared" si="2"/>
        <v>2</v>
      </c>
      <c r="H13" s="451">
        <v>53</v>
      </c>
      <c r="I13" s="452">
        <v>55</v>
      </c>
      <c r="J13" s="405">
        <f>MAX(H13:I13)</f>
        <v>55</v>
      </c>
      <c r="K13" s="5">
        <f>RANK(J13,$J$5:$J$17)</f>
        <v>3</v>
      </c>
    </row>
    <row r="14" spans="1:11" s="125" customFormat="1" ht="20.25">
      <c r="A14" s="376">
        <v>14</v>
      </c>
      <c r="B14" s="376" t="s">
        <v>188</v>
      </c>
      <c r="C14" s="471">
        <v>7.63</v>
      </c>
      <c r="D14" s="471">
        <v>7.36</v>
      </c>
      <c r="E14" s="337">
        <f t="shared" si="0"/>
        <v>7.36</v>
      </c>
      <c r="F14" s="201">
        <f t="shared" si="1"/>
        <v>20</v>
      </c>
      <c r="G14" s="417">
        <f t="shared" si="2"/>
        <v>6</v>
      </c>
      <c r="H14" s="451">
        <v>45</v>
      </c>
      <c r="I14" s="453">
        <v>46</v>
      </c>
      <c r="J14" s="405"/>
      <c r="K14" s="5"/>
    </row>
    <row r="15" spans="1:11" s="125" customFormat="1" ht="20.25">
      <c r="A15" s="376">
        <v>15</v>
      </c>
      <c r="B15" s="376" t="s">
        <v>189</v>
      </c>
      <c r="C15" s="471">
        <v>6.79</v>
      </c>
      <c r="D15" s="471">
        <v>6.66</v>
      </c>
      <c r="E15" s="337">
        <f t="shared" si="0"/>
        <v>6.66</v>
      </c>
      <c r="F15" s="201">
        <f t="shared" si="1"/>
        <v>34</v>
      </c>
      <c r="G15" s="5">
        <f t="shared" ref="G15:G17" si="3">RANK(F15,$F$5:$F$17)</f>
        <v>4</v>
      </c>
      <c r="H15" s="451">
        <v>55</v>
      </c>
      <c r="I15" s="453">
        <v>56</v>
      </c>
      <c r="J15" s="405">
        <f>MAX(H15:I15)</f>
        <v>56</v>
      </c>
      <c r="K15" s="5">
        <f>RANK(J15,$J$5:$J$17)</f>
        <v>2</v>
      </c>
    </row>
    <row r="16" spans="1:11" s="125" customFormat="1" ht="20.25">
      <c r="A16" s="376">
        <v>16</v>
      </c>
      <c r="B16" s="376" t="s">
        <v>190</v>
      </c>
      <c r="C16" s="471" t="s">
        <v>148</v>
      </c>
      <c r="D16" s="471" t="s">
        <v>148</v>
      </c>
      <c r="E16" s="337" t="s">
        <v>42</v>
      </c>
      <c r="F16" s="201">
        <v>0</v>
      </c>
      <c r="G16" s="5">
        <f t="shared" si="3"/>
        <v>9</v>
      </c>
      <c r="H16" s="451"/>
      <c r="I16" s="453"/>
      <c r="J16" s="405" t="s">
        <v>42</v>
      </c>
      <c r="K16" s="417" t="s">
        <v>42</v>
      </c>
    </row>
    <row r="17" spans="1:11" ht="21" thickBot="1">
      <c r="A17" s="376">
        <v>17</v>
      </c>
      <c r="B17" s="376" t="s">
        <v>191</v>
      </c>
      <c r="C17" s="471">
        <v>8.44</v>
      </c>
      <c r="D17" s="471">
        <v>8.36</v>
      </c>
      <c r="E17" s="337">
        <f t="shared" si="0"/>
        <v>8.36</v>
      </c>
      <c r="F17" s="201">
        <f t="shared" si="1"/>
        <v>0</v>
      </c>
      <c r="G17" s="5">
        <f t="shared" si="3"/>
        <v>9</v>
      </c>
      <c r="H17" s="454">
        <v>41</v>
      </c>
      <c r="I17" s="455">
        <v>40</v>
      </c>
      <c r="J17" s="405">
        <f>MAX(H17:I17)</f>
        <v>41</v>
      </c>
      <c r="K17" s="5">
        <f>RANK(J17,$J$5:$J$17)</f>
        <v>7</v>
      </c>
    </row>
    <row r="18" spans="1:11">
      <c r="B18" s="24"/>
      <c r="C18" s="51"/>
      <c r="D18" s="51"/>
      <c r="E18" s="51"/>
      <c r="F18" s="18"/>
      <c r="G18" s="18"/>
      <c r="H18" s="18"/>
      <c r="I18" s="3"/>
    </row>
    <row r="19" spans="1:11">
      <c r="B19" s="24"/>
      <c r="C19" s="51"/>
      <c r="D19" s="121"/>
      <c r="E19" s="51"/>
      <c r="F19" s="18"/>
      <c r="G19" s="18"/>
      <c r="H19" s="18"/>
      <c r="I19" s="3"/>
    </row>
    <row r="20" spans="1:11">
      <c r="B20" s="24"/>
      <c r="C20" s="51"/>
      <c r="D20" s="212" t="s">
        <v>116</v>
      </c>
      <c r="E20" s="51"/>
      <c r="F20" s="18"/>
      <c r="G20" s="18"/>
      <c r="H20" s="18"/>
      <c r="I20" s="3"/>
    </row>
    <row r="21" spans="1:11">
      <c r="B21" s="24"/>
      <c r="C21" s="51"/>
      <c r="D21" s="253" t="s">
        <v>113</v>
      </c>
      <c r="E21" s="251">
        <f>50/(F3-F2)</f>
        <v>20.000000000000007</v>
      </c>
      <c r="F21" s="18"/>
      <c r="G21" s="18"/>
      <c r="H21" s="18"/>
      <c r="I21" s="3"/>
    </row>
    <row r="22" spans="1:11">
      <c r="B22" s="24"/>
      <c r="C22" s="51"/>
      <c r="D22" s="253" t="s">
        <v>114</v>
      </c>
      <c r="E22" s="252">
        <f>E21*F3</f>
        <v>167.20000000000005</v>
      </c>
      <c r="F22" s="18"/>
      <c r="G22" s="18"/>
      <c r="H22" s="18"/>
      <c r="I22" s="3"/>
    </row>
    <row r="23" spans="1:11">
      <c r="B23" s="24"/>
      <c r="D23" s="253" t="s">
        <v>163</v>
      </c>
      <c r="E23" s="51"/>
      <c r="F23" s="18"/>
      <c r="G23" s="18"/>
      <c r="H23" s="18"/>
      <c r="I23" s="3"/>
    </row>
    <row r="24" spans="1:11">
      <c r="B24" s="24"/>
      <c r="C24" s="51"/>
      <c r="D24" s="51"/>
      <c r="E24" s="51"/>
      <c r="F24" s="18"/>
      <c r="G24" s="18"/>
      <c r="H24" s="18"/>
      <c r="I24" s="3"/>
    </row>
    <row r="25" spans="1:11">
      <c r="B25" s="24"/>
      <c r="C25" s="51"/>
      <c r="D25" s="51"/>
      <c r="E25" s="51"/>
      <c r="F25" s="18"/>
      <c r="G25" s="18"/>
      <c r="H25" s="18"/>
      <c r="I25" s="3"/>
    </row>
    <row r="26" spans="1:11">
      <c r="B26" s="24"/>
      <c r="C26" s="51"/>
      <c r="D26" s="51"/>
      <c r="E26" s="51"/>
      <c r="F26" s="18"/>
      <c r="G26" s="18"/>
      <c r="H26" s="18"/>
      <c r="I26" s="3"/>
    </row>
    <row r="27" spans="1:11">
      <c r="B27" s="24"/>
      <c r="C27" s="51"/>
      <c r="D27" s="51"/>
      <c r="E27" s="51"/>
      <c r="F27" s="18"/>
      <c r="G27" s="18"/>
      <c r="H27" s="18"/>
      <c r="I27" s="3"/>
    </row>
    <row r="28" spans="1:11">
      <c r="B28" s="24"/>
      <c r="C28" s="51"/>
      <c r="D28" s="51"/>
      <c r="E28" s="51"/>
      <c r="F28" s="18"/>
      <c r="G28" s="18"/>
      <c r="H28" s="18"/>
      <c r="I28" s="6"/>
    </row>
    <row r="29" spans="1:11">
      <c r="B29" s="24"/>
      <c r="C29" s="51"/>
      <c r="D29" s="51"/>
      <c r="E29" s="51"/>
      <c r="F29" s="18"/>
      <c r="G29" s="18"/>
      <c r="H29" s="18"/>
      <c r="I29" s="6"/>
    </row>
    <row r="30" spans="1:11">
      <c r="B30" s="12"/>
      <c r="C30" s="51"/>
      <c r="D30" s="51"/>
      <c r="E30" s="51"/>
      <c r="F30" s="18"/>
      <c r="G30" s="18"/>
      <c r="H30" s="18"/>
      <c r="I30" s="6"/>
    </row>
    <row r="31" spans="1:11">
      <c r="B31" s="12"/>
      <c r="C31" s="51"/>
      <c r="D31" s="51"/>
      <c r="E31" s="51"/>
      <c r="F31" s="18"/>
      <c r="G31" s="18"/>
      <c r="H31" s="18"/>
      <c r="I31" s="6"/>
    </row>
    <row r="32" spans="1:11">
      <c r="B32" s="12"/>
      <c r="C32" s="51"/>
      <c r="D32" s="51"/>
      <c r="E32" s="51"/>
      <c r="F32" s="18"/>
      <c r="G32" s="18"/>
      <c r="H32" s="18"/>
      <c r="I32" s="6"/>
    </row>
    <row r="33" spans="2:9">
      <c r="B33" s="46"/>
      <c r="C33" s="12"/>
      <c r="D33" s="12"/>
      <c r="E33" s="12"/>
      <c r="F33" s="6"/>
      <c r="G33" s="6"/>
      <c r="H33" s="6"/>
      <c r="I33" s="6"/>
    </row>
    <row r="34" spans="2:9">
      <c r="C34" s="4"/>
      <c r="D34" s="4"/>
      <c r="E34" s="4"/>
    </row>
    <row r="35" spans="2:9">
      <c r="C35" s="4"/>
      <c r="D35" s="4"/>
      <c r="E35" s="4"/>
    </row>
    <row r="36" spans="2:9">
      <c r="C36" s="4"/>
      <c r="D36" s="4"/>
      <c r="E36" s="4"/>
    </row>
    <row r="37" spans="2:9">
      <c r="C37" s="4"/>
      <c r="D37" s="4"/>
      <c r="E37" s="4"/>
    </row>
    <row r="38" spans="2:9">
      <c r="C38" s="4"/>
      <c r="D38" s="4"/>
      <c r="E38" s="4"/>
    </row>
    <row r="39" spans="2:9">
      <c r="C39" s="4"/>
      <c r="D39" s="4"/>
      <c r="E39" s="4"/>
    </row>
    <row r="40" spans="2:9">
      <c r="C40" s="4"/>
      <c r="D40" s="4"/>
      <c r="E40" s="4"/>
    </row>
    <row r="41" spans="2:9">
      <c r="C41" s="4"/>
      <c r="D41" s="4"/>
      <c r="E41" s="4"/>
    </row>
    <row r="42" spans="2:9">
      <c r="C42" s="4"/>
      <c r="D42" s="4"/>
      <c r="E42" s="4"/>
    </row>
    <row r="43" spans="2:9">
      <c r="C43" s="4"/>
      <c r="D43" s="4"/>
      <c r="E43" s="4"/>
    </row>
    <row r="44" spans="2:9">
      <c r="C44" s="4"/>
      <c r="D44" s="4"/>
      <c r="E44" s="4"/>
    </row>
    <row r="45" spans="2:9">
      <c r="C45" s="4"/>
      <c r="D45" s="4"/>
      <c r="E45" s="4"/>
    </row>
    <row r="46" spans="2:9">
      <c r="C46" s="4"/>
      <c r="D46" s="4"/>
      <c r="E46" s="4"/>
    </row>
    <row r="47" spans="2:9">
      <c r="C47" s="4"/>
      <c r="D47" s="4"/>
      <c r="E47" s="4"/>
    </row>
    <row r="48" spans="2:9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</sheetData>
  <phoneticPr fontId="25" type="noConversion"/>
  <printOptions gridLines="1"/>
  <pageMargins left="0.75" right="0.75" top="0.5" bottom="0.5" header="0.5" footer="0.5"/>
  <pageSetup scale="84"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Economy-Endurance 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Acceleration!Print_Area</vt:lpstr>
      <vt:lpstr>'Fuel Economy-Endurance  '!Print_Area</vt:lpstr>
      <vt:lpstr>'Objective Handling'!Print_Area</vt:lpstr>
      <vt:lpstr>'Totals and Awards'!Print_Area</vt:lpstr>
      <vt:lpstr>'Vehicle Weights'!Print_Area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Robert Baratono</cp:lastModifiedBy>
  <cp:lastPrinted>2018-03-12T17:11:22Z</cp:lastPrinted>
  <dcterms:created xsi:type="dcterms:W3CDTF">2000-03-12T02:15:03Z</dcterms:created>
  <dcterms:modified xsi:type="dcterms:W3CDTF">2018-03-21T19:17:36Z</dcterms:modified>
</cp:coreProperties>
</file>