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2865" windowWidth="14445" windowHeight="2895" tabRatio="778"/>
  </bookViews>
  <sheets>
    <sheet name="Totals and Awards" sheetId="13" r:id="rId1"/>
    <sheet name="Paper" sheetId="1" r:id="rId2"/>
    <sheet name="Static" sheetId="2" r:id="rId3"/>
    <sheet name="MSRP" sheetId="3" r:id="rId4"/>
    <sheet name="Fuel Economy-Endurance  " sheetId="4" r:id="rId5"/>
    <sheet name="Noise" sheetId="6" r:id="rId6"/>
    <sheet name="Oral" sheetId="5" r:id="rId7"/>
    <sheet name="Acceleration" sheetId="7" r:id="rId8"/>
    <sheet name="Lab Emissions" sheetId="18" r:id="rId9"/>
    <sheet name="In Service Emissions" sheetId="19" r:id="rId10"/>
    <sheet name="Cold Start" sheetId="10" r:id="rId11"/>
    <sheet name="Drawbar Pull" sheetId="11" r:id="rId12"/>
    <sheet name="Penalties and Bonuses" sheetId="12" r:id="rId13"/>
    <sheet name="Vehicle Weights" sheetId="15" r:id="rId14"/>
  </sheets>
  <definedNames>
    <definedName name="Bmax">'Lab Emissions'!#REF!</definedName>
    <definedName name="Bmin">'Lab Emissions'!#REF!</definedName>
    <definedName name="Emax">'Lab Emissions'!#REF!</definedName>
    <definedName name="Emin">'Lab Emissions'!#REF!</definedName>
    <definedName name="_xlnm.Print_Area" localSheetId="7">Acceleration!$A$1:$I$12</definedName>
    <definedName name="_xlnm.Print_Area" localSheetId="0">'Totals and Awards'!$B$1:$N$38</definedName>
    <definedName name="_xlnm.Print_Area" localSheetId="13">'Vehicle Weights'!$A$4:$F$11</definedName>
  </definedNames>
  <calcPr calcId="125725"/>
</workbook>
</file>

<file path=xl/calcChain.xml><?xml version="1.0" encoding="utf-8"?>
<calcChain xmlns="http://schemas.openxmlformats.org/spreadsheetml/2006/main">
  <c r="N10" i="13"/>
  <c r="N11"/>
  <c r="C38"/>
  <c r="G37"/>
  <c r="F37"/>
  <c r="C37"/>
  <c r="C36"/>
  <c r="C35"/>
  <c r="C33"/>
  <c r="C32"/>
  <c r="C31"/>
  <c r="C30"/>
  <c r="C29"/>
  <c r="C28"/>
  <c r="C34"/>
  <c r="C26"/>
  <c r="C25"/>
  <c r="J7" i="11" l="1"/>
  <c r="J8"/>
  <c r="J9"/>
  <c r="J10"/>
  <c r="J11"/>
  <c r="J12"/>
  <c r="J13"/>
  <c r="J6"/>
  <c r="AY5" i="5"/>
  <c r="AY6"/>
  <c r="AY7"/>
  <c r="AY8"/>
  <c r="AY9"/>
  <c r="AY10"/>
  <c r="AY11"/>
  <c r="AY4"/>
  <c r="D6" i="6" l="1"/>
  <c r="D5" i="13"/>
  <c r="D6"/>
  <c r="D7"/>
  <c r="D8"/>
  <c r="D9"/>
  <c r="D10"/>
  <c r="D11"/>
  <c r="D30" i="1"/>
  <c r="E30"/>
  <c r="F30"/>
  <c r="F31" s="1"/>
  <c r="G30"/>
  <c r="H30"/>
  <c r="I30"/>
  <c r="J30"/>
  <c r="C30"/>
  <c r="C31" s="1"/>
  <c r="D31"/>
  <c r="E31"/>
  <c r="G31"/>
  <c r="H31"/>
  <c r="I31"/>
  <c r="J3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4"/>
  <c r="H34" l="1"/>
  <c r="F34"/>
  <c r="C34"/>
  <c r="D34"/>
  <c r="I34"/>
  <c r="E34"/>
  <c r="J34"/>
  <c r="G34"/>
  <c r="K5" i="13" l="1"/>
  <c r="K6"/>
  <c r="K7"/>
  <c r="K8"/>
  <c r="K9"/>
  <c r="K10"/>
  <c r="K11"/>
  <c r="K4"/>
  <c r="G7" i="7" l="1"/>
  <c r="G12"/>
  <c r="G5"/>
  <c r="F7"/>
  <c r="F12"/>
  <c r="F5"/>
  <c r="F3"/>
  <c r="F2"/>
  <c r="L8" i="13"/>
  <c r="L9"/>
  <c r="L10"/>
  <c r="L11"/>
  <c r="D11" i="10"/>
  <c r="D10"/>
  <c r="E12" i="7"/>
  <c r="J5" i="13" l="1"/>
  <c r="J6"/>
  <c r="J7"/>
  <c r="J8"/>
  <c r="J9"/>
  <c r="J10"/>
  <c r="J11"/>
  <c r="J4"/>
  <c r="Q5" i="18"/>
  <c r="Q6"/>
  <c r="Q7"/>
  <c r="Q8"/>
  <c r="Q4"/>
  <c r="E10" i="13"/>
  <c r="E11"/>
  <c r="N8" i="3"/>
  <c r="N9"/>
  <c r="N10"/>
  <c r="N11"/>
  <c r="N12"/>
  <c r="N13"/>
  <c r="N14"/>
  <c r="N7"/>
  <c r="M13"/>
  <c r="M14"/>
  <c r="F13"/>
  <c r="F14"/>
  <c r="F3" i="4"/>
  <c r="F2"/>
  <c r="E11"/>
  <c r="E14"/>
  <c r="E10"/>
  <c r="C10" i="13"/>
  <c r="C11"/>
  <c r="AZ11" i="5"/>
  <c r="G11" i="13" s="1"/>
  <c r="AZ10" i="5"/>
  <c r="G10" i="13" s="1"/>
  <c r="I5" i="15" l="1"/>
  <c r="I6"/>
  <c r="I8"/>
  <c r="F4"/>
  <c r="F5"/>
  <c r="F6"/>
  <c r="F8"/>
  <c r="G7" i="6"/>
  <c r="F14" l="1"/>
  <c r="C14"/>
  <c r="G7" i="11"/>
  <c r="G8"/>
  <c r="G10"/>
  <c r="G6"/>
  <c r="M7" i="13" l="1"/>
  <c r="M9"/>
  <c r="M10"/>
  <c r="M11"/>
  <c r="I4" i="15"/>
  <c r="G2"/>
  <c r="G1"/>
  <c r="K9" i="12"/>
  <c r="K8"/>
  <c r="K7"/>
  <c r="K6"/>
  <c r="K5"/>
  <c r="K4"/>
  <c r="H10" i="11" l="1"/>
  <c r="H8"/>
  <c r="H7"/>
  <c r="H6" l="1"/>
  <c r="G3" l="1"/>
  <c r="G2"/>
  <c r="D9" i="10"/>
  <c r="D8"/>
  <c r="D7"/>
  <c r="D6"/>
  <c r="D5"/>
  <c r="D4"/>
  <c r="G17" i="11" l="1"/>
  <c r="G18"/>
  <c r="I6"/>
  <c r="I8" l="1"/>
  <c r="I10"/>
  <c r="I7"/>
  <c r="M8" i="13" l="1"/>
  <c r="M6"/>
  <c r="M5"/>
  <c r="K2" i="19"/>
  <c r="K1"/>
  <c r="G1"/>
  <c r="G16" l="1"/>
  <c r="G17" s="1"/>
  <c r="E7" i="7"/>
  <c r="E5" l="1"/>
  <c r="D23" i="6" l="1"/>
  <c r="C23"/>
  <c r="C24" s="1"/>
  <c r="C25" s="1"/>
  <c r="C22"/>
  <c r="D5"/>
  <c r="D25" l="1"/>
  <c r="C26"/>
  <c r="C27" s="1"/>
  <c r="D22"/>
  <c r="D24"/>
  <c r="D26"/>
  <c r="F15"/>
  <c r="D27" l="1"/>
  <c r="C28"/>
  <c r="F16"/>
  <c r="G6" s="1"/>
  <c r="C23" i="3"/>
  <c r="C22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G9" i="6" l="1"/>
  <c r="H9" s="1"/>
  <c r="H8" i="13" s="1"/>
  <c r="C29" i="6"/>
  <c r="D28"/>
  <c r="H6"/>
  <c r="N9" i="13"/>
  <c r="H9"/>
  <c r="F9"/>
  <c r="C9"/>
  <c r="N8"/>
  <c r="L7"/>
  <c r="C8" l="1"/>
  <c r="D29" i="6"/>
  <c r="C30"/>
  <c r="L6" i="13"/>
  <c r="I6"/>
  <c r="C7" l="1"/>
  <c r="C31" i="6"/>
  <c r="D30"/>
  <c r="L5" i="13"/>
  <c r="C6" l="1"/>
  <c r="C32" i="6"/>
  <c r="D31"/>
  <c r="H5" i="13"/>
  <c r="N4"/>
  <c r="M4" s="1"/>
  <c r="L4"/>
  <c r="I4"/>
  <c r="D4"/>
  <c r="C5" l="1"/>
  <c r="C33" i="6"/>
  <c r="D32"/>
  <c r="C4" i="13" l="1"/>
  <c r="C34" i="6"/>
  <c r="D33"/>
  <c r="N5" i="13"/>
  <c r="N6"/>
  <c r="N7"/>
  <c r="C35" i="6" l="1"/>
  <c r="D34"/>
  <c r="H7"/>
  <c r="H6" i="13" s="1"/>
  <c r="H7"/>
  <c r="G5" i="6"/>
  <c r="H5" s="1"/>
  <c r="I12" l="1"/>
  <c r="I11"/>
  <c r="C36"/>
  <c r="D35"/>
  <c r="I6"/>
  <c r="I8"/>
  <c r="I7"/>
  <c r="H4" i="13"/>
  <c r="I5" i="6"/>
  <c r="I10"/>
  <c r="C37" l="1"/>
  <c r="D36"/>
  <c r="C38" l="1"/>
  <c r="D38" s="1"/>
  <c r="D37"/>
  <c r="AZ8" i="5" l="1"/>
  <c r="G8" i="13" s="1"/>
  <c r="AZ7" i="5"/>
  <c r="G7" i="13" s="1"/>
  <c r="AZ4" i="5"/>
  <c r="G4" i="13" s="1"/>
  <c r="AZ5" i="5"/>
  <c r="AZ9"/>
  <c r="AZ6"/>
  <c r="G6" i="13" s="1"/>
  <c r="BA8" i="5" l="1"/>
  <c r="BA4"/>
  <c r="BA10"/>
  <c r="BA7"/>
  <c r="BA11"/>
  <c r="BA5"/>
  <c r="BA9"/>
  <c r="BA6"/>
  <c r="G9" i="13"/>
  <c r="D18"/>
  <c r="G5"/>
  <c r="F6" i="4" l="1"/>
  <c r="F7" i="13"/>
  <c r="F7" i="4" l="1"/>
  <c r="F11" s="1"/>
  <c r="F14" l="1"/>
  <c r="F10"/>
  <c r="F5" i="13"/>
  <c r="F4" l="1"/>
  <c r="G10" i="4"/>
  <c r="G14"/>
  <c r="F8" i="13"/>
  <c r="G11" i="4"/>
  <c r="C20" i="3" l="1"/>
  <c r="C21"/>
  <c r="F11"/>
  <c r="M11"/>
  <c r="E8" i="13" s="1"/>
  <c r="F10" i="3"/>
  <c r="M10"/>
  <c r="E7" i="13" s="1"/>
  <c r="F8" i="3"/>
  <c r="M8"/>
  <c r="E5" i="13" s="1"/>
  <c r="F7" i="3"/>
  <c r="M7"/>
  <c r="E4" i="13" s="1"/>
  <c r="F12" i="3"/>
  <c r="M12"/>
  <c r="E9" i="13"/>
  <c r="F9" i="3"/>
  <c r="M9"/>
  <c r="G16" i="13" l="1"/>
  <c r="O4"/>
  <c r="E6"/>
  <c r="G18" l="1"/>
  <c r="O6"/>
  <c r="E16" i="7"/>
  <c r="E17" l="1"/>
  <c r="I9" i="13" l="1"/>
  <c r="O9" s="1"/>
  <c r="I11" l="1"/>
  <c r="O11" s="1"/>
  <c r="I10"/>
  <c r="O10" s="1"/>
  <c r="I8"/>
  <c r="O8" s="1"/>
  <c r="D21"/>
  <c r="G21"/>
  <c r="I7"/>
  <c r="O7" s="1"/>
  <c r="I5"/>
  <c r="O5" s="1"/>
  <c r="D22" l="1"/>
  <c r="G22"/>
  <c r="D23"/>
  <c r="G23"/>
  <c r="D20"/>
  <c r="G20"/>
  <c r="D17"/>
  <c r="G17"/>
  <c r="G19"/>
  <c r="D19"/>
</calcChain>
</file>

<file path=xl/sharedStrings.xml><?xml version="1.0" encoding="utf-8"?>
<sst xmlns="http://schemas.openxmlformats.org/spreadsheetml/2006/main" count="520" uniqueCount="226">
  <si>
    <t xml:space="preserve">Gmax = </t>
  </si>
  <si>
    <t>Gmin =</t>
  </si>
  <si>
    <t>Emissions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</si>
  <si>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</si>
  <si>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</si>
  <si>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</si>
  <si>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</si>
  <si>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</si>
  <si>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</si>
  <si>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</si>
  <si>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</si>
  <si>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</si>
  <si>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</si>
  <si>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</si>
  <si>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</si>
  <si>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</si>
  <si>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</si>
  <si>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Best</t>
  </si>
  <si>
    <t>Points</t>
  </si>
  <si>
    <t>Design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</si>
  <si>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</si>
  <si>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</si>
  <si>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</si>
  <si>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</si>
  <si>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</si>
  <si>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</si>
  <si>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</si>
  <si>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</si>
  <si>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</si>
  <si>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Noise</t>
  </si>
  <si>
    <t>Acceleration</t>
  </si>
  <si>
    <t>Best Time (s)</t>
  </si>
  <si>
    <t>Late Oral</t>
  </si>
  <si>
    <t>Fuel</t>
  </si>
  <si>
    <t>Economy</t>
  </si>
  <si>
    <t>Cold</t>
  </si>
  <si>
    <t>Start</t>
  </si>
  <si>
    <t xml:space="preserve"> </t>
  </si>
  <si>
    <t>Display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</si>
  <si>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</si>
  <si>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</si>
  <si>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</si>
  <si>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</si>
  <si>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</si>
  <si>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</si>
  <si>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</si>
  <si>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</si>
  <si>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</si>
  <si>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</si>
  <si>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</si>
  <si>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</si>
  <si>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</si>
  <si>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</si>
  <si>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</si>
  <si>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</si>
  <si>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</si>
  <si>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</si>
  <si>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Average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</si>
  <si>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</si>
  <si>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</si>
  <si>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</si>
  <si>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</si>
  <si>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</si>
  <si>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</si>
  <si>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</si>
  <si>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</si>
  <si>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Inspection
 Penalty</t>
  </si>
  <si>
    <t>Ranking</t>
  </si>
  <si>
    <t>CSC Points</t>
  </si>
  <si>
    <t>FINAL EMISSIONS (grams/mile)</t>
  </si>
  <si>
    <t>BSFC +</t>
  </si>
  <si>
    <t>Fuel Economy +</t>
  </si>
  <si>
    <t>Completed 5 Modes</t>
  </si>
  <si>
    <t>Lab Emission Test</t>
  </si>
  <si>
    <t>Lab Emission Points</t>
  </si>
  <si>
    <t>Weighted BSFC</t>
  </si>
  <si>
    <t>Teams exceeding 130 HP during the Power Sweep will not be allowed to continue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</si>
  <si>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</si>
  <si>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</si>
  <si>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</si>
  <si>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</si>
  <si>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</si>
  <si>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</si>
  <si>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</si>
  <si>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</si>
  <si>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</si>
  <si>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</si>
  <si>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</si>
  <si>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</si>
  <si>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</si>
  <si>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</si>
  <si>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</si>
  <si>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</si>
  <si>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</si>
  <si>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</si>
  <si>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</si>
  <si>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</si>
  <si>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</si>
  <si>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</si>
  <si>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</si>
  <si>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</si>
  <si>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</si>
  <si>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</si>
  <si>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</si>
  <si>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</si>
  <si>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</si>
  <si>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</si>
  <si>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</si>
  <si>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</si>
  <si>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</si>
  <si>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</si>
  <si>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</si>
  <si>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</si>
  <si>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</si>
  <si>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</si>
  <si>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</si>
  <si>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</si>
  <si>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</si>
  <si>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</si>
  <si>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</si>
  <si>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</si>
  <si>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</si>
  <si>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</si>
  <si>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</si>
  <si>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# of papers</t>
  </si>
  <si>
    <t>CO+NO+THC
g/mile</t>
  </si>
  <si>
    <t>m</t>
  </si>
  <si>
    <t>b</t>
  </si>
  <si>
    <t>Endurance</t>
  </si>
  <si>
    <t>Rank</t>
  </si>
  <si>
    <t>Fuel consumed (gallons)</t>
  </si>
  <si>
    <t>Design Paper
Judge</t>
  </si>
  <si>
    <t>Judge</t>
  </si>
  <si>
    <t>Control Sled J1161 Noise Level Dba</t>
  </si>
  <si>
    <t>J1161 Level</t>
  </si>
  <si>
    <t>PASS</t>
  </si>
  <si>
    <t>lbs</t>
  </si>
  <si>
    <t>min points:</t>
  </si>
  <si>
    <t>max points:</t>
  </si>
  <si>
    <t xml:space="preserve">Drawbar </t>
  </si>
  <si>
    <t>Pull</t>
  </si>
  <si>
    <t>DNF</t>
  </si>
  <si>
    <t>Pull #1</t>
  </si>
  <si>
    <t>Pull #2</t>
  </si>
  <si>
    <t>Pull #3</t>
  </si>
  <si>
    <t>Pull #4</t>
  </si>
  <si>
    <t>Max</t>
  </si>
  <si>
    <t>diesel</t>
  </si>
  <si>
    <t>FAIL</t>
  </si>
  <si>
    <t>Min</t>
  </si>
  <si>
    <t>Sums</t>
  </si>
  <si>
    <t>SAE CSC 2018 Final Score Diesel Utility Class</t>
  </si>
  <si>
    <t>Ecole De Technologie Superieure</t>
  </si>
  <si>
    <t>SUNY - Buffalo</t>
  </si>
  <si>
    <t>Univ of Wisconsin - Platteville</t>
  </si>
  <si>
    <t>North Dakota State Univ</t>
  </si>
  <si>
    <t>Kettering Univ</t>
  </si>
  <si>
    <t>Clarkson University</t>
  </si>
  <si>
    <t>Univ of Minnesota-Duluth</t>
  </si>
  <si>
    <t>South Dakota School of Mines &amp; Tech</t>
  </si>
  <si>
    <t>SAE CSC 2018 Design Paper DUC Class</t>
  </si>
  <si>
    <t>SAE CSC 2018 Static Display Results</t>
  </si>
  <si>
    <t>SAE CSC 2018 MSRP Results</t>
  </si>
  <si>
    <t>SAE CSC 2018 Fuel Economy/Endurance Results</t>
  </si>
  <si>
    <t>SAE CSC 2018 DUC Engine Noise Testing</t>
  </si>
  <si>
    <t>SAE CSC 2018 Oral Presentation Results</t>
  </si>
  <si>
    <t>SAE CSC 2018 In Service Emission Testing Results</t>
  </si>
  <si>
    <t>SAE CSC 2018 Cold Start Results</t>
  </si>
  <si>
    <t>SAE CSC 2018 Draw Bar Pull - Event Coordinator - Mark Osborne</t>
  </si>
  <si>
    <t>SAE CSC 2018 Penalties</t>
  </si>
  <si>
    <t>SAE CSC 2018 DUC Vehicle Weights</t>
  </si>
  <si>
    <t>Fuel Type B9</t>
  </si>
  <si>
    <t>DNC</t>
  </si>
  <si>
    <t>LAB EMISSION TEST - SCORING SUMMARY</t>
  </si>
  <si>
    <t>Name</t>
  </si>
  <si>
    <t>Maximum Horsepower &lt; 130</t>
  </si>
  <si>
    <t>CO &lt; 275</t>
  </si>
  <si>
    <t>HC + Nox &lt; 90</t>
  </si>
  <si>
    <t>E Score &gt; 175</t>
  </si>
  <si>
    <t>Soot &lt; 50</t>
  </si>
  <si>
    <t>Passing E Scores</t>
  </si>
  <si>
    <t>#101 ETS</t>
  </si>
  <si>
    <t>#102 SUNY Buffalo</t>
  </si>
  <si>
    <t>#103 UW-Platteville</t>
  </si>
  <si>
    <t>#104 North Dakota</t>
  </si>
  <si>
    <t>Did not compete - Ran for data only</t>
  </si>
  <si>
    <t>#105 Kettering</t>
  </si>
  <si>
    <t>#111 Clarkson</t>
  </si>
  <si>
    <t>Did not compete</t>
  </si>
  <si>
    <t>#112 Minnesota</t>
  </si>
  <si>
    <t>#113 South Dakota</t>
  </si>
  <si>
    <t>MinEScore</t>
  </si>
  <si>
    <t>-</t>
  </si>
  <si>
    <t>MaxEScore</t>
  </si>
  <si>
    <t>MinBSFC</t>
  </si>
  <si>
    <t>g/kw-hr</t>
  </si>
  <si>
    <t>MaxBSFC</t>
  </si>
  <si>
    <t>Must PASS "Lab Emissions Test" to score "Lab Emission Points"</t>
  </si>
  <si>
    <t>Must PASS "Completed 5 Modes" to score "BSFC points", but do not have to PASS the "Lab Emission Test"</t>
  </si>
  <si>
    <t>Lab EmissionRanking</t>
  </si>
  <si>
    <t>SAE CSC 2018 Acceleration + Load Results Brendan Bungert - Polaris</t>
  </si>
  <si>
    <t>fAIL</t>
  </si>
  <si>
    <t>Not Eligible</t>
  </si>
  <si>
    <t>alternator replacement</t>
  </si>
  <si>
    <t>Not eligible to win because did not pass emissions</t>
  </si>
  <si>
    <t>tied</t>
  </si>
  <si>
    <t>Replaced Intake Manifold (3/7/18) Adjusted Steering (without permission on 3/8/18) Replaced fuel pump (3/9/18)</t>
  </si>
  <si>
    <t>each part replacement = -20</t>
  </si>
  <si>
    <t>Not eligible to win 3rd place prize because did not pass emissions</t>
  </si>
  <si>
    <t>Lowest "In Service" Emissions (Sensors)</t>
  </si>
  <si>
    <t>Best Fuel Economy Winner (Gage)</t>
  </si>
  <si>
    <t>Quietest Snowmobile Winner (PCB) 
Camso Trac for 2019</t>
  </si>
  <si>
    <r>
      <t>Innovation (DENSO)</t>
    </r>
    <r>
      <rPr>
        <b/>
        <sz val="12"/>
        <color rgb="FF00B050"/>
        <rFont val="Arial"/>
        <family val="2"/>
      </rPr>
      <t xml:space="preserve"> $500</t>
    </r>
  </si>
  <si>
    <r>
      <t xml:space="preserve">Most Innovative Emissions Design (Faurecia) </t>
    </r>
    <r>
      <rPr>
        <b/>
        <sz val="12"/>
        <color rgb="FF00B050"/>
        <rFont val="Arial"/>
        <family val="2"/>
      </rPr>
      <t>$1,000</t>
    </r>
  </si>
  <si>
    <t>MSA Award Plaque for Endurance</t>
  </si>
  <si>
    <r>
      <t xml:space="preserve">Second Place Winner Overall (Cummins) </t>
    </r>
    <r>
      <rPr>
        <b/>
        <sz val="12"/>
        <color rgb="FF00B050"/>
        <rFont val="Arial"/>
        <family val="2"/>
      </rPr>
      <t>$750</t>
    </r>
  </si>
  <si>
    <r>
      <t xml:space="preserve">First Place Winner Overall (Oshkosh) </t>
    </r>
    <r>
      <rPr>
        <b/>
        <sz val="12"/>
        <color rgb="FF00B050"/>
        <rFont val="Arial"/>
        <family val="2"/>
      </rPr>
      <t>$1,000</t>
    </r>
    <r>
      <rPr>
        <b/>
        <sz val="12"/>
        <rFont val="Arial"/>
        <family val="2"/>
      </rPr>
      <t xml:space="preserve"> 
</t>
    </r>
  </si>
  <si>
    <t>None, only two teams passed emissions</t>
  </si>
  <si>
    <t xml:space="preserve">Third Place Winner Overall </t>
  </si>
  <si>
    <t>CAN -DO E-Controls award (E Controls) $1,000 value products</t>
  </si>
  <si>
    <t>Draw Bar Pull (KRC)</t>
  </si>
  <si>
    <t>Best Lab Emissions Winner (AVL)</t>
  </si>
  <si>
    <t xml:space="preserve">Best Design Winner (Cummins) </t>
  </si>
  <si>
    <t>Milwaukee Tool Special Award</t>
  </si>
  <si>
    <t>SUNY Buffalo</t>
  </si>
  <si>
    <t>(tied)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</si>
</sst>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0.000000"/>
    <numFmt numFmtId="169" formatCode="0.0000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4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sz val="10"/>
      <color rgb="FF002060"/>
      <name val="Arial"/>
      <family val="2"/>
    </font>
    <font>
      <sz val="14"/>
      <name val="Calibri"/>
      <family val="2"/>
      <scheme val="minor"/>
    </font>
    <font>
      <b/>
      <sz val="10"/>
      <color rgb="FF00B05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2"/>
      <color rgb="FF00B050"/>
      <name val="Arial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8" fillId="2" borderId="0" applyNumberFormat="0" applyBorder="0" applyAlignment="0" applyProtection="0"/>
    <xf numFmtId="44" fontId="29" fillId="0" borderId="0" applyFont="0" applyFill="0" applyBorder="0" applyAlignment="0" applyProtection="0"/>
    <xf numFmtId="0" fontId="3" fillId="0" borderId="0"/>
    <xf numFmtId="0" fontId="4" fillId="0" borderId="0"/>
    <xf numFmtId="0" fontId="43" fillId="0" borderId="0" applyNumberForma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</cellStyleXfs>
  <cellXfs count="434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10" fillId="0" borderId="0" xfId="0" applyFont="1" applyProtection="1"/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5" fillId="0" borderId="0" xfId="0" applyFont="1" applyProtection="1"/>
    <xf numFmtId="0" fontId="5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1" fontId="5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9" fillId="0" borderId="0" xfId="0" applyFont="1" applyProtection="1"/>
    <xf numFmtId="0" fontId="9" fillId="0" borderId="0" xfId="0" applyFont="1" applyFill="1" applyBorder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1" fontId="5" fillId="0" borderId="0" xfId="0" applyNumberFormat="1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44" fontId="11" fillId="0" borderId="0" xfId="0" applyNumberFormat="1" applyFont="1" applyBorder="1" applyProtection="1"/>
    <xf numFmtId="0" fontId="0" fillId="0" borderId="0" xfId="0" applyFill="1"/>
    <xf numFmtId="164" fontId="0" fillId="0" borderId="0" xfId="0" applyNumberFormat="1" applyFill="1"/>
    <xf numFmtId="1" fontId="9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1" fontId="7" fillId="0" borderId="0" xfId="0" applyNumberFormat="1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Fill="1" applyBorder="1" applyAlignment="1" applyProtection="1">
      <alignment horizontal="center" wrapText="1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/>
    <xf numFmtId="164" fontId="0" fillId="0" borderId="0" xfId="0" applyNumberFormat="1" applyFill="1" applyAlignment="1">
      <alignment horizontal="center"/>
    </xf>
    <xf numFmtId="165" fontId="9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9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0" fontId="12" fillId="0" borderId="0" xfId="0" applyFont="1"/>
    <xf numFmtId="0" fontId="5" fillId="0" borderId="0" xfId="0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 applyProtection="1">
      <alignment horizontal="right"/>
    </xf>
    <xf numFmtId="2" fontId="0" fillId="0" borderId="0" xfId="0" applyNumberFormat="1" applyProtection="1"/>
    <xf numFmtId="0" fontId="5" fillId="0" borderId="0" xfId="0" applyFont="1" applyBorder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Alignment="1" applyProtection="1">
      <alignment horizontal="left"/>
    </xf>
    <xf numFmtId="1" fontId="7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2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9" fillId="0" borderId="0" xfId="0" applyFont="1" applyAlignment="1" applyProtection="1"/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9" fillId="0" borderId="0" xfId="0" applyFont="1" applyAlignment="1"/>
    <xf numFmtId="167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9" fillId="0" borderId="0" xfId="0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Protection="1"/>
    <xf numFmtId="0" fontId="5" fillId="0" borderId="0" xfId="0" applyFont="1"/>
    <xf numFmtId="0" fontId="7" fillId="0" borderId="0" xfId="0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/>
    <xf numFmtId="1" fontId="6" fillId="0" borderId="0" xfId="0" applyNumberFormat="1" applyFont="1" applyProtection="1"/>
    <xf numFmtId="0" fontId="9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0" fillId="0" borderId="0" xfId="0" applyFont="1" applyAlignment="1" applyProtection="1">
      <alignment horizontal="center" wrapText="1"/>
    </xf>
    <xf numFmtId="2" fontId="7" fillId="0" borderId="0" xfId="0" applyNumberFormat="1" applyFont="1" applyAlignment="1" applyProtection="1">
      <alignment horizontal="center"/>
    </xf>
    <xf numFmtId="1" fontId="9" fillId="0" borderId="0" xfId="0" applyNumberFormat="1" applyFont="1" applyAlignment="1" applyProtection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/>
    <xf numFmtId="2" fontId="7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Protection="1"/>
    <xf numFmtId="164" fontId="5" fillId="0" borderId="0" xfId="0" quotePrefix="1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right"/>
    </xf>
    <xf numFmtId="2" fontId="5" fillId="0" borderId="0" xfId="0" applyNumberFormat="1" applyFont="1" applyAlignment="1">
      <alignment horizontal="center"/>
    </xf>
    <xf numFmtId="0" fontId="21" fillId="0" borderId="0" xfId="0" applyFont="1" applyAlignment="1">
      <alignment horizontal="justify"/>
    </xf>
    <xf numFmtId="0" fontId="21" fillId="0" borderId="0" xfId="0" applyFont="1" applyAlignment="1">
      <alignment horizontal="left"/>
    </xf>
    <xf numFmtId="0" fontId="7" fillId="0" borderId="0" xfId="0" applyFont="1" applyAlignment="1"/>
    <xf numFmtId="1" fontId="17" fillId="0" borderId="0" xfId="0" applyNumberFormat="1" applyFont="1" applyAlignment="1" applyProtection="1">
      <alignment horizontal="center"/>
    </xf>
    <xf numFmtId="164" fontId="16" fillId="0" borderId="1" xfId="0" applyNumberFormat="1" applyFont="1" applyBorder="1" applyAlignment="1">
      <alignment horizontal="center"/>
    </xf>
    <xf numFmtId="1" fontId="16" fillId="0" borderId="0" xfId="0" applyNumberFormat="1" applyFont="1" applyAlignment="1" applyProtection="1">
      <alignment horizontal="center"/>
    </xf>
    <xf numFmtId="166" fontId="16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3" fillId="0" borderId="0" xfId="0" applyFont="1"/>
    <xf numFmtId="0" fontId="0" fillId="0" borderId="0" xfId="0" applyFill="1" applyBorder="1" applyAlignment="1" applyProtection="1">
      <alignment horizontal="left"/>
    </xf>
    <xf numFmtId="1" fontId="0" fillId="0" borderId="0" xfId="0" applyNumberFormat="1" applyProtection="1"/>
    <xf numFmtId="1" fontId="0" fillId="0" borderId="0" xfId="0" applyNumberFormat="1"/>
    <xf numFmtId="1" fontId="7" fillId="0" borderId="0" xfId="0" applyNumberFormat="1" applyFont="1" applyProtection="1"/>
    <xf numFmtId="2" fontId="9" fillId="0" borderId="0" xfId="0" applyNumberFormat="1" applyFont="1" applyProtection="1"/>
    <xf numFmtId="1" fontId="0" fillId="0" borderId="0" xfId="0" applyNumberFormat="1" applyBorder="1"/>
    <xf numFmtId="0" fontId="7" fillId="0" borderId="0" xfId="0" applyFont="1" applyBorder="1" applyAlignment="1">
      <alignment horizontal="left" wrapText="1"/>
    </xf>
    <xf numFmtId="0" fontId="25" fillId="0" borderId="0" xfId="0" applyFont="1" applyProtection="1"/>
    <xf numFmtId="0" fontId="26" fillId="0" borderId="0" xfId="0" applyFont="1"/>
    <xf numFmtId="0" fontId="26" fillId="0" borderId="0" xfId="0" applyFont="1" applyProtection="1"/>
    <xf numFmtId="0" fontId="5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26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Protection="1"/>
    <xf numFmtId="1" fontId="4" fillId="0" borderId="1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Protection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Border="1"/>
    <xf numFmtId="165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4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64" fontId="27" fillId="0" borderId="1" xfId="1" applyNumberFormat="1" applyFont="1" applyFill="1" applyBorder="1" applyAlignment="1" applyProtection="1">
      <alignment horizontal="center"/>
    </xf>
    <xf numFmtId="0" fontId="9" fillId="0" borderId="0" xfId="0" applyNumberFormat="1" applyFont="1" applyProtection="1"/>
    <xf numFmtId="0" fontId="9" fillId="0" borderId="0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0" fontId="0" fillId="0" borderId="0" xfId="0" applyNumberFormat="1"/>
    <xf numFmtId="165" fontId="9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4" fillId="0" borderId="0" xfId="0" applyNumberFormat="1" applyFont="1" applyBorder="1" applyAlignment="1" applyProtection="1">
      <alignment horizontal="left"/>
    </xf>
    <xf numFmtId="165" fontId="28" fillId="0" borderId="0" xfId="1" applyNumberFormat="1" applyFill="1" applyBorder="1" applyProtection="1"/>
    <xf numFmtId="166" fontId="5" fillId="0" borderId="1" xfId="0" applyNumberFormat="1" applyFont="1" applyFill="1" applyBorder="1" applyAlignment="1" applyProtection="1">
      <alignment horizontal="center"/>
    </xf>
    <xf numFmtId="0" fontId="27" fillId="0" borderId="1" xfId="1" applyFont="1" applyFill="1" applyBorder="1" applyAlignment="1" applyProtection="1">
      <alignment horizontal="center"/>
    </xf>
    <xf numFmtId="166" fontId="9" fillId="0" borderId="0" xfId="0" applyNumberFormat="1" applyFont="1" applyFill="1" applyBorder="1" applyProtection="1"/>
    <xf numFmtId="166" fontId="9" fillId="0" borderId="0" xfId="0" applyNumberFormat="1" applyFont="1" applyProtection="1"/>
    <xf numFmtId="1" fontId="9" fillId="0" borderId="0" xfId="0" applyNumberFormat="1" applyFont="1" applyFill="1" applyBorder="1" applyAlignment="1" applyProtection="1">
      <alignment horizontal="center"/>
    </xf>
    <xf numFmtId="44" fontId="9" fillId="0" borderId="0" xfId="2" applyFont="1" applyFill="1" applyBorder="1" applyAlignment="1" applyProtection="1">
      <alignment horizontal="center"/>
    </xf>
    <xf numFmtId="44" fontId="0" fillId="0" borderId="0" xfId="2" applyFont="1"/>
    <xf numFmtId="168" fontId="9" fillId="0" borderId="0" xfId="0" applyNumberFormat="1" applyFont="1" applyFill="1" applyBorder="1" applyAlignment="1" applyProtection="1">
      <alignment horizontal="center"/>
    </xf>
    <xf numFmtId="164" fontId="25" fillId="0" borderId="0" xfId="0" applyNumberFormat="1" applyFont="1" applyBorder="1" applyAlignment="1" applyProtection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0" fontId="25" fillId="0" borderId="0" xfId="0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32" fillId="0" borderId="0" xfId="0" applyFont="1"/>
    <xf numFmtId="1" fontId="26" fillId="0" borderId="0" xfId="0" applyNumberFormat="1" applyFont="1" applyAlignment="1">
      <alignment horizontal="center"/>
    </xf>
    <xf numFmtId="165" fontId="4" fillId="0" borderId="0" xfId="0" applyNumberFormat="1" applyFont="1" applyFill="1" applyBorder="1" applyProtection="1"/>
    <xf numFmtId="2" fontId="4" fillId="0" borderId="0" xfId="0" applyNumberFormat="1" applyFont="1"/>
    <xf numFmtId="165" fontId="27" fillId="0" borderId="0" xfId="1" applyNumberFormat="1" applyFont="1" applyFill="1" applyBorder="1" applyProtection="1"/>
    <xf numFmtId="2" fontId="0" fillId="0" borderId="1" xfId="0" applyNumberForma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Fill="1" applyAlignment="1" applyProtection="1">
      <alignment horizontal="center"/>
    </xf>
    <xf numFmtId="0" fontId="25" fillId="0" borderId="0" xfId="0" applyFont="1" applyFill="1" applyBorder="1" applyProtection="1"/>
    <xf numFmtId="0" fontId="10" fillId="0" borderId="0" xfId="0" applyFont="1" applyAlignment="1">
      <alignment horizontal="left"/>
    </xf>
    <xf numFmtId="0" fontId="26" fillId="0" borderId="0" xfId="0" applyFont="1" applyBorder="1" applyAlignment="1">
      <alignment horizontal="left" wrapText="1"/>
    </xf>
    <xf numFmtId="2" fontId="4" fillId="0" borderId="1" xfId="0" applyNumberFormat="1" applyFont="1" applyBorder="1" applyAlignment="1" applyProtection="1">
      <alignment horizontal="center"/>
    </xf>
    <xf numFmtId="1" fontId="26" fillId="0" borderId="0" xfId="0" applyNumberFormat="1" applyFont="1" applyBorder="1" applyAlignment="1" applyProtection="1">
      <alignment horizontal="left"/>
    </xf>
    <xf numFmtId="2" fontId="4" fillId="0" borderId="0" xfId="0" applyNumberFormat="1" applyFont="1" applyBorder="1" applyAlignment="1" applyProtection="1">
      <alignment horizontal="left"/>
    </xf>
    <xf numFmtId="0" fontId="4" fillId="0" borderId="0" xfId="0" applyFont="1" applyFill="1" applyBorder="1"/>
    <xf numFmtId="164" fontId="4" fillId="0" borderId="0" xfId="0" applyNumberFormat="1" applyFont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center" wrapText="1"/>
    </xf>
    <xf numFmtId="0" fontId="30" fillId="0" borderId="0" xfId="0" applyFont="1"/>
    <xf numFmtId="0" fontId="4" fillId="0" borderId="1" xfId="0" applyFont="1" applyBorder="1" applyAlignment="1"/>
    <xf numFmtId="0" fontId="0" fillId="0" borderId="1" xfId="0" applyBorder="1" applyAlignment="1"/>
    <xf numFmtId="2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0" fillId="0" borderId="0" xfId="0" applyNumberFormat="1"/>
    <xf numFmtId="164" fontId="33" fillId="0" borderId="1" xfId="1" applyNumberFormat="1" applyFont="1" applyFill="1" applyBorder="1" applyAlignment="1" applyProtection="1">
      <alignment horizontal="center"/>
    </xf>
    <xf numFmtId="0" fontId="27" fillId="0" borderId="0" xfId="1" applyFont="1" applyFill="1" applyBorder="1"/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169" fontId="7" fillId="0" borderId="0" xfId="0" applyNumberFormat="1" applyFont="1" applyAlignment="1" applyProtection="1">
      <alignment horizontal="center"/>
    </xf>
    <xf numFmtId="0" fontId="24" fillId="0" borderId="0" xfId="3" applyFont="1" applyBorder="1" applyAlignment="1">
      <alignment horizontal="left" wrapText="1"/>
    </xf>
    <xf numFmtId="0" fontId="28" fillId="0" borderId="1" xfId="1" applyFont="1" applyFill="1" applyBorder="1" applyAlignment="1" applyProtection="1">
      <alignment horizontal="center"/>
    </xf>
    <xf numFmtId="0" fontId="36" fillId="0" borderId="0" xfId="0" applyFont="1" applyFill="1" applyAlignment="1" applyProtection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2" fontId="21" fillId="0" borderId="0" xfId="0" applyNumberFormat="1" applyFont="1" applyAlignment="1"/>
    <xf numFmtId="2" fontId="22" fillId="0" borderId="0" xfId="0" applyNumberFormat="1" applyFont="1" applyAlignment="1"/>
    <xf numFmtId="0" fontId="4" fillId="0" borderId="1" xfId="0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0" fontId="35" fillId="0" borderId="0" xfId="0" applyFont="1"/>
    <xf numFmtId="0" fontId="12" fillId="0" borderId="0" xfId="0" applyFont="1" applyAlignment="1" applyProtection="1"/>
    <xf numFmtId="164" fontId="5" fillId="0" borderId="0" xfId="0" applyNumberFormat="1" applyFont="1"/>
    <xf numFmtId="2" fontId="10" fillId="0" borderId="0" xfId="0" applyNumberFormat="1" applyFont="1" applyProtection="1"/>
    <xf numFmtId="2" fontId="5" fillId="0" borderId="0" xfId="0" applyNumberFormat="1" applyFont="1" applyProtection="1"/>
    <xf numFmtId="2" fontId="8" fillId="0" borderId="0" xfId="0" applyNumberFormat="1" applyFont="1" applyFill="1" applyBorder="1" applyAlignment="1" applyProtection="1">
      <alignment horizontal="center" wrapText="1"/>
    </xf>
    <xf numFmtId="0" fontId="4" fillId="0" borderId="3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center"/>
    </xf>
    <xf numFmtId="1" fontId="38" fillId="3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39" fillId="0" borderId="0" xfId="0" applyFont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167" fontId="40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0" fontId="10" fillId="0" borderId="0" xfId="0" applyFont="1"/>
    <xf numFmtId="0" fontId="3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44" fillId="0" borderId="1" xfId="5" applyFont="1" applyBorder="1" applyAlignment="1"/>
    <xf numFmtId="0" fontId="45" fillId="0" borderId="0" xfId="0" applyFont="1" applyAlignment="1">
      <alignment horizontal="center"/>
    </xf>
    <xf numFmtId="0" fontId="30" fillId="0" borderId="3" xfId="0" applyFont="1" applyBorder="1" applyAlignment="1"/>
    <xf numFmtId="0" fontId="4" fillId="0" borderId="0" xfId="0" applyFont="1" applyAlignment="1"/>
    <xf numFmtId="0" fontId="42" fillId="4" borderId="6" xfId="0" applyFont="1" applyFill="1" applyBorder="1" applyAlignment="1">
      <alignment horizontal="center" vertical="top" wrapText="1"/>
    </xf>
    <xf numFmtId="0" fontId="11" fillId="0" borderId="0" xfId="0" applyFont="1"/>
    <xf numFmtId="0" fontId="4" fillId="0" borderId="0" xfId="0" applyFont="1" applyAlignment="1" applyProtection="1">
      <alignment horizontal="right"/>
    </xf>
    <xf numFmtId="165" fontId="4" fillId="0" borderId="0" xfId="0" applyNumberFormat="1" applyFont="1" applyProtection="1"/>
    <xf numFmtId="0" fontId="4" fillId="0" borderId="1" xfId="4" applyFont="1" applyBorder="1" applyAlignment="1">
      <alignment horizontal="center"/>
    </xf>
    <xf numFmtId="0" fontId="2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2" fillId="0" borderId="1" xfId="1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 applyProtection="1">
      <alignment horizontal="left"/>
    </xf>
    <xf numFmtId="2" fontId="4" fillId="0" borderId="0" xfId="0" applyNumberFormat="1" applyFont="1" applyAlignment="1" applyProtection="1">
      <alignment horizontal="left"/>
    </xf>
    <xf numFmtId="2" fontId="13" fillId="0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Border="1" applyAlignment="1">
      <alignment horizontal="left"/>
    </xf>
    <xf numFmtId="2" fontId="9" fillId="0" borderId="1" xfId="0" applyNumberFormat="1" applyFont="1" applyFill="1" applyBorder="1" applyAlignment="1" applyProtection="1">
      <alignment horizontal="center"/>
    </xf>
    <xf numFmtId="1" fontId="4" fillId="0" borderId="7" xfId="0" applyNumberFormat="1" applyFont="1" applyFill="1" applyBorder="1" applyAlignment="1" applyProtection="1">
      <alignment horizontal="center"/>
    </xf>
    <xf numFmtId="0" fontId="0" fillId="0" borderId="8" xfId="0" applyBorder="1"/>
    <xf numFmtId="1" fontId="38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165" fontId="9" fillId="0" borderId="1" xfId="0" applyNumberFormat="1" applyFont="1" applyFill="1" applyBorder="1" applyAlignment="1" applyProtection="1">
      <alignment horizontal="center"/>
    </xf>
    <xf numFmtId="165" fontId="9" fillId="0" borderId="1" xfId="0" applyNumberFormat="1" applyFont="1" applyFill="1" applyBorder="1" applyProtection="1"/>
    <xf numFmtId="164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44" fontId="11" fillId="0" borderId="1" xfId="0" applyNumberFormat="1" applyFont="1" applyBorder="1" applyProtection="1"/>
    <xf numFmtId="0" fontId="4" fillId="0" borderId="1" xfId="0" applyFont="1" applyBorder="1" applyAlignment="1">
      <alignment horizontal="left"/>
    </xf>
    <xf numFmtId="1" fontId="38" fillId="0" borderId="4" xfId="0" applyNumberFormat="1" applyFont="1" applyBorder="1" applyAlignment="1">
      <alignment horizontal="center"/>
    </xf>
    <xf numFmtId="1" fontId="38" fillId="0" borderId="3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7" fillId="0" borderId="1" xfId="1" applyFont="1" applyFill="1" applyBorder="1" applyAlignment="1" applyProtection="1">
      <alignment horizontal="center"/>
    </xf>
    <xf numFmtId="164" fontId="27" fillId="0" borderId="1" xfId="1" applyNumberFormat="1" applyFont="1" applyFill="1" applyBorder="1" applyAlignment="1">
      <alignment vertical="center" wrapText="1"/>
    </xf>
    <xf numFmtId="164" fontId="27" fillId="0" borderId="1" xfId="1" applyNumberFormat="1" applyFont="1" applyFill="1" applyBorder="1" applyAlignment="1" applyProtection="1">
      <alignment vertical="center"/>
    </xf>
    <xf numFmtId="164" fontId="4" fillId="0" borderId="1" xfId="0" applyNumberFormat="1" applyFont="1" applyBorder="1" applyAlignment="1">
      <alignment vertical="center"/>
    </xf>
    <xf numFmtId="44" fontId="5" fillId="0" borderId="0" xfId="4" applyNumberFormat="1" applyFont="1" applyFill="1" applyAlignment="1">
      <alignment horizontal="right"/>
    </xf>
    <xf numFmtId="0" fontId="49" fillId="0" borderId="1" xfId="0" applyFont="1" applyBorder="1" applyAlignment="1">
      <alignment horizontal="center"/>
    </xf>
    <xf numFmtId="1" fontId="50" fillId="0" borderId="1" xfId="0" applyNumberFormat="1" applyFont="1" applyBorder="1" applyAlignment="1">
      <alignment horizont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Alignment="1">
      <alignment horizontal="center"/>
    </xf>
    <xf numFmtId="164" fontId="25" fillId="0" borderId="0" xfId="0" applyNumberFormat="1" applyFont="1" applyFill="1" applyBorder="1" applyProtection="1"/>
    <xf numFmtId="0" fontId="39" fillId="0" borderId="9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3" borderId="3" xfId="0" quotePrefix="1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9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4" fontId="5" fillId="0" borderId="0" xfId="0" applyNumberFormat="1" applyFont="1" applyFill="1" applyBorder="1" applyProtection="1"/>
    <xf numFmtId="2" fontId="4" fillId="0" borderId="0" xfId="0" applyNumberFormat="1" applyFont="1" applyAlignment="1" applyProtection="1">
      <alignment horizontal="center"/>
    </xf>
    <xf numFmtId="2" fontId="4" fillId="3" borderId="0" xfId="0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0" fillId="5" borderId="0" xfId="0" applyFill="1"/>
    <xf numFmtId="1" fontId="38" fillId="6" borderId="1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5" fillId="5" borderId="0" xfId="0" applyNumberFormat="1" applyFont="1" applyFill="1" applyAlignment="1" applyProtection="1">
      <alignment horizontal="center"/>
    </xf>
    <xf numFmtId="1" fontId="0" fillId="5" borderId="0" xfId="0" applyNumberFormat="1" applyFill="1" applyAlignment="1" applyProtection="1">
      <alignment horizontal="center"/>
    </xf>
    <xf numFmtId="0" fontId="0" fillId="5" borderId="0" xfId="0" applyFill="1" applyBorder="1"/>
    <xf numFmtId="1" fontId="38" fillId="3" borderId="10" xfId="0" applyNumberFormat="1" applyFont="1" applyFill="1" applyBorder="1" applyAlignment="1">
      <alignment horizontal="center"/>
    </xf>
    <xf numFmtId="1" fontId="38" fillId="3" borderId="11" xfId="0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2" fontId="38" fillId="6" borderId="2" xfId="4" applyNumberFormat="1" applyFont="1" applyFill="1" applyBorder="1" applyAlignment="1">
      <alignment horizontal="center"/>
    </xf>
    <xf numFmtId="2" fontId="38" fillId="3" borderId="2" xfId="4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1" xfId="0" applyFont="1" applyBorder="1"/>
    <xf numFmtId="0" fontId="0" fillId="0" borderId="0" xfId="0" applyAlignment="1" applyProtection="1">
      <alignment horizontal="left"/>
    </xf>
    <xf numFmtId="2" fontId="38" fillId="0" borderId="1" xfId="0" applyNumberFormat="1" applyFont="1" applyBorder="1" applyAlignment="1">
      <alignment horizontal="center"/>
    </xf>
    <xf numFmtId="166" fontId="2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5" borderId="0" xfId="0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Border="1" applyAlignment="1" applyProtection="1">
      <alignment horizontal="right"/>
    </xf>
    <xf numFmtId="1" fontId="0" fillId="5" borderId="0" xfId="0" applyNumberFormat="1" applyFill="1" applyBorder="1" applyProtection="1"/>
    <xf numFmtId="164" fontId="4" fillId="5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64" fontId="50" fillId="5" borderId="1" xfId="0" applyNumberFormat="1" applyFont="1" applyFill="1" applyBorder="1" applyAlignment="1">
      <alignment horizontal="center"/>
    </xf>
    <xf numFmtId="164" fontId="5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left" wrapText="1"/>
    </xf>
    <xf numFmtId="0" fontId="53" fillId="0" borderId="1" xfId="0" applyFont="1" applyFill="1" applyBorder="1"/>
    <xf numFmtId="165" fontId="53" fillId="0" borderId="1" xfId="0" applyNumberFormat="1" applyFont="1" applyFill="1" applyBorder="1" applyAlignment="1" applyProtection="1">
      <alignment horizontal="center"/>
    </xf>
    <xf numFmtId="165" fontId="53" fillId="0" borderId="1" xfId="0" applyNumberFormat="1" applyFont="1" applyFill="1" applyBorder="1" applyProtection="1"/>
    <xf numFmtId="164" fontId="53" fillId="0" borderId="1" xfId="0" applyNumberFormat="1" applyFont="1" applyFill="1" applyBorder="1" applyAlignment="1" applyProtection="1">
      <alignment horizontal="center"/>
    </xf>
    <xf numFmtId="0" fontId="53" fillId="0" borderId="1" xfId="0" applyFont="1" applyFill="1" applyBorder="1" applyAlignment="1" applyProtection="1">
      <alignment horizontal="center"/>
    </xf>
    <xf numFmtId="0" fontId="54" fillId="0" borderId="1" xfId="0" applyFont="1" applyFill="1" applyBorder="1" applyAlignment="1" applyProtection="1">
      <alignment horizontal="center"/>
    </xf>
    <xf numFmtId="44" fontId="54" fillId="0" borderId="1" xfId="0" applyNumberFormat="1" applyFont="1" applyBorder="1" applyProtection="1"/>
    <xf numFmtId="0" fontId="54" fillId="0" borderId="1" xfId="0" applyFont="1" applyBorder="1" applyAlignment="1">
      <alignment horizontal="left"/>
    </xf>
    <xf numFmtId="0" fontId="55" fillId="0" borderId="1" xfId="0" applyFont="1" applyFill="1" applyBorder="1"/>
    <xf numFmtId="165" fontId="55" fillId="0" borderId="1" xfId="0" applyNumberFormat="1" applyFont="1" applyFill="1" applyBorder="1" applyAlignment="1" applyProtection="1">
      <alignment horizontal="center"/>
    </xf>
    <xf numFmtId="165" fontId="55" fillId="0" borderId="1" xfId="0" applyNumberFormat="1" applyFont="1" applyFill="1" applyBorder="1" applyProtection="1"/>
    <xf numFmtId="164" fontId="55" fillId="0" borderId="1" xfId="0" applyNumberFormat="1" applyFont="1" applyFill="1" applyBorder="1" applyAlignment="1" applyProtection="1">
      <alignment horizontal="center"/>
    </xf>
    <xf numFmtId="0" fontId="55" fillId="0" borderId="1" xfId="0" applyFont="1" applyFill="1" applyBorder="1" applyAlignment="1" applyProtection="1">
      <alignment horizontal="center"/>
    </xf>
    <xf numFmtId="0" fontId="38" fillId="0" borderId="1" xfId="0" applyFont="1" applyFill="1" applyBorder="1" applyAlignment="1" applyProtection="1">
      <alignment horizontal="center"/>
    </xf>
    <xf numFmtId="0" fontId="38" fillId="0" borderId="1" xfId="0" applyNumberFormat="1" applyFont="1" applyBorder="1" applyAlignment="1" applyProtection="1">
      <alignment horizontal="center" wrapText="1"/>
      <protection locked="0"/>
    </xf>
    <xf numFmtId="164" fontId="9" fillId="0" borderId="0" xfId="0" applyNumberFormat="1" applyFont="1" applyFill="1" applyBorder="1" applyAlignment="1" applyProtection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51" fillId="0" borderId="1" xfId="0" applyFont="1" applyBorder="1" applyAlignment="1" applyProtection="1">
      <alignment horizontal="left" wrapText="1"/>
    </xf>
    <xf numFmtId="0" fontId="51" fillId="0" borderId="1" xfId="0" applyFont="1" applyBorder="1" applyAlignment="1" applyProtection="1">
      <alignment horizontal="left"/>
    </xf>
    <xf numFmtId="0" fontId="51" fillId="0" borderId="1" xfId="0" applyFont="1" applyBorder="1" applyAlignment="1">
      <alignment horizontal="left"/>
    </xf>
    <xf numFmtId="0" fontId="51" fillId="0" borderId="1" xfId="0" applyFont="1" applyFill="1" applyBorder="1" applyAlignment="1" applyProtection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3" fillId="0" borderId="1" xfId="1" applyFont="1" applyFill="1" applyBorder="1"/>
    <xf numFmtId="1" fontId="5" fillId="0" borderId="1" xfId="0" applyNumberFormat="1" applyFont="1" applyBorder="1" applyAlignment="1" applyProtection="1">
      <alignment horizontal="center"/>
    </xf>
    <xf numFmtId="1" fontId="5" fillId="0" borderId="1" xfId="0" applyNumberFormat="1" applyFont="1" applyBorder="1" applyAlignment="1" applyProtection="1">
      <alignment horizontal="right"/>
    </xf>
    <xf numFmtId="0" fontId="5" fillId="5" borderId="1" xfId="0" applyFont="1" applyFill="1" applyBorder="1" applyAlignment="1" applyProtection="1">
      <alignment horizontal="center"/>
    </xf>
    <xf numFmtId="0" fontId="0" fillId="5" borderId="1" xfId="0" applyFill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" fontId="5" fillId="5" borderId="1" xfId="0" applyNumberFormat="1" applyFont="1" applyFill="1" applyBorder="1" applyAlignment="1" applyProtection="1">
      <alignment horizontal="center"/>
    </xf>
    <xf numFmtId="0" fontId="5" fillId="0" borderId="1" xfId="0" applyFont="1" applyBorder="1" applyProtection="1"/>
    <xf numFmtId="0" fontId="5" fillId="5" borderId="1" xfId="0" applyFont="1" applyFill="1" applyBorder="1" applyAlignment="1" applyProtection="1">
      <alignment horizontal="center" wrapText="1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164" fontId="46" fillId="5" borderId="1" xfId="0" applyNumberFormat="1" applyFont="1" applyFill="1" applyBorder="1" applyAlignment="1" applyProtection="1">
      <alignment horizontal="center"/>
    </xf>
    <xf numFmtId="164" fontId="4" fillId="5" borderId="1" xfId="0" applyNumberFormat="1" applyFont="1" applyFill="1" applyBorder="1" applyAlignment="1" applyProtection="1">
      <alignment horizontal="center"/>
    </xf>
    <xf numFmtId="164" fontId="0" fillId="5" borderId="1" xfId="0" applyNumberFormat="1" applyFill="1" applyBorder="1" applyAlignment="1">
      <alignment horizontal="center"/>
    </xf>
    <xf numFmtId="1" fontId="4" fillId="5" borderId="1" xfId="0" applyNumberFormat="1" applyFont="1" applyFill="1" applyBorder="1" applyAlignment="1" applyProtection="1">
      <alignment horizontal="center"/>
    </xf>
    <xf numFmtId="164" fontId="7" fillId="5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/>
    </xf>
    <xf numFmtId="2" fontId="58" fillId="0" borderId="1" xfId="0" applyNumberFormat="1" applyFont="1" applyBorder="1" applyAlignment="1" applyProtection="1">
      <alignment horizontal="center"/>
    </xf>
    <xf numFmtId="0" fontId="58" fillId="0" borderId="1" xfId="0" applyFont="1" applyBorder="1"/>
    <xf numFmtId="169" fontId="58" fillId="0" borderId="1" xfId="0" applyNumberFormat="1" applyFont="1" applyBorder="1" applyAlignment="1" applyProtection="1">
      <alignment horizontal="center"/>
    </xf>
    <xf numFmtId="169" fontId="4" fillId="0" borderId="1" xfId="0" applyNumberFormat="1" applyFont="1" applyBorder="1" applyAlignment="1" applyProtection="1">
      <alignment horizontal="center"/>
    </xf>
    <xf numFmtId="0" fontId="58" fillId="0" borderId="1" xfId="0" applyFont="1" applyBorder="1" applyAlignment="1">
      <alignment horizontal="center"/>
    </xf>
    <xf numFmtId="1" fontId="7" fillId="0" borderId="1" xfId="0" applyNumberFormat="1" applyFont="1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3" fillId="0" borderId="1" xfId="1" applyFont="1" applyFill="1" applyBorder="1" applyAlignment="1"/>
    <xf numFmtId="1" fontId="5" fillId="0" borderId="1" xfId="0" applyNumberFormat="1" applyFont="1" applyBorder="1" applyAlignment="1" applyProtection="1"/>
    <xf numFmtId="0" fontId="5" fillId="0" borderId="1" xfId="0" applyFont="1" applyBorder="1"/>
    <xf numFmtId="0" fontId="57" fillId="0" borderId="1" xfId="3" applyFont="1" applyBorder="1" applyAlignment="1">
      <alignment wrapText="1"/>
    </xf>
    <xf numFmtId="0" fontId="35" fillId="0" borderId="1" xfId="1" applyFont="1" applyFill="1" applyBorder="1" applyAlignment="1"/>
    <xf numFmtId="0" fontId="57" fillId="0" borderId="1" xfId="3" applyFont="1" applyBorder="1" applyAlignment="1">
      <alignment horizontal="left"/>
    </xf>
    <xf numFmtId="0" fontId="57" fillId="0" borderId="1" xfId="3" applyFont="1" applyBorder="1" applyAlignment="1"/>
    <xf numFmtId="0" fontId="57" fillId="0" borderId="1" xfId="3" applyFont="1" applyBorder="1" applyAlignment="1">
      <alignment horizontal="left" wrapText="1"/>
    </xf>
    <xf numFmtId="0" fontId="57" fillId="0" borderId="1" xfId="3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8" fillId="0" borderId="0" xfId="0" applyFont="1" applyAlignment="1">
      <alignment horizontal="center" vertical="top" wrapText="1"/>
    </xf>
  </cellXfs>
  <cellStyles count="10">
    <cellStyle name="Bad" xfId="1" builtinId="27"/>
    <cellStyle name="Currency" xfId="2" builtinId="4"/>
    <cellStyle name="Currency 2" xfId="7"/>
    <cellStyle name="Hyperlink" xfId="5" builtinId="8"/>
    <cellStyle name="Normal" xfId="0" builtinId="0"/>
    <cellStyle name="Normal 2" xfId="3"/>
    <cellStyle name="Normal 2 2" xfId="8"/>
    <cellStyle name="Normal 3" xfId="4"/>
    <cellStyle name="Normal 4" xfId="6"/>
    <cellStyle name="Normal 4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25</xdr:row>
      <xdr:rowOff>9525</xdr:rowOff>
    </xdr:from>
    <xdr:to>
      <xdr:col>50</xdr:col>
      <xdr:colOff>0</xdr:colOff>
      <xdr:row>32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46"/>
  <sheetViews>
    <sheetView tabSelected="1" zoomScaleNormal="100" zoomScalePageLayoutView="125" workbookViewId="0"/>
  </sheetViews>
  <sheetFormatPr defaultColWidth="8.85546875" defaultRowHeight="12.75"/>
  <cols>
    <col min="2" max="2" width="39.28515625" customWidth="1"/>
    <col min="3" max="3" width="14.85546875" customWidth="1"/>
    <col min="4" max="4" width="11.85546875" style="3" customWidth="1"/>
    <col min="5" max="5" width="10.42578125" customWidth="1"/>
    <col min="6" max="6" width="15.42578125" customWidth="1"/>
    <col min="7" max="8" width="11.42578125" customWidth="1"/>
    <col min="9" max="9" width="15.42578125" customWidth="1"/>
    <col min="10" max="10" width="15.42578125" style="138" customWidth="1"/>
    <col min="11" max="11" width="15.42578125" style="3" customWidth="1"/>
    <col min="12" max="12" width="9.42578125" customWidth="1"/>
    <col min="13" max="13" width="12.42578125" customWidth="1"/>
    <col min="14" max="14" width="11.140625" customWidth="1"/>
    <col min="15" max="15" width="12.42578125" customWidth="1"/>
  </cols>
  <sheetData>
    <row r="1" spans="1:18" ht="18.75">
      <c r="B1" s="7" t="s">
        <v>151</v>
      </c>
      <c r="C1" s="6"/>
      <c r="D1" s="17"/>
      <c r="E1" s="6"/>
      <c r="F1" s="398" t="s">
        <v>128</v>
      </c>
      <c r="G1" s="33"/>
      <c r="H1" s="6"/>
      <c r="I1" s="6"/>
      <c r="J1" s="137"/>
      <c r="K1" s="413" t="s">
        <v>71</v>
      </c>
      <c r="L1" s="6"/>
      <c r="M1" s="17"/>
      <c r="N1" s="6"/>
    </row>
    <row r="2" spans="1:18">
      <c r="B2" s="6"/>
      <c r="C2" s="398" t="s">
        <v>19</v>
      </c>
      <c r="D2" s="398" t="s">
        <v>4</v>
      </c>
      <c r="E2" s="399"/>
      <c r="F2" s="398" t="s">
        <v>33</v>
      </c>
      <c r="G2" s="400"/>
      <c r="H2" s="401"/>
      <c r="I2" s="401"/>
      <c r="J2" s="402" t="s">
        <v>70</v>
      </c>
      <c r="K2" s="398" t="s">
        <v>65</v>
      </c>
      <c r="L2" s="398" t="s">
        <v>35</v>
      </c>
      <c r="M2" s="398" t="s">
        <v>139</v>
      </c>
      <c r="N2" s="403" t="s">
        <v>54</v>
      </c>
      <c r="O2" s="2" t="s">
        <v>150</v>
      </c>
    </row>
    <row r="3" spans="1:18">
      <c r="B3" s="6"/>
      <c r="C3" s="398" t="s">
        <v>5</v>
      </c>
      <c r="D3" s="398" t="s">
        <v>38</v>
      </c>
      <c r="E3" s="398" t="s">
        <v>56</v>
      </c>
      <c r="F3" s="404" t="s">
        <v>34</v>
      </c>
      <c r="G3" s="398" t="s">
        <v>3</v>
      </c>
      <c r="H3" s="398" t="s">
        <v>29</v>
      </c>
      <c r="I3" s="405" t="s">
        <v>30</v>
      </c>
      <c r="J3" s="402" t="s">
        <v>64</v>
      </c>
      <c r="K3" s="398" t="s">
        <v>2</v>
      </c>
      <c r="L3" s="398" t="s">
        <v>36</v>
      </c>
      <c r="M3" s="398" t="s">
        <v>140</v>
      </c>
      <c r="N3" s="406" t="s">
        <v>53</v>
      </c>
      <c r="R3" s="5"/>
    </row>
    <row r="4" spans="1:18">
      <c r="A4" s="105">
        <v>101</v>
      </c>
      <c r="B4" s="105" t="s">
        <v>152</v>
      </c>
      <c r="C4" s="407">
        <f>Paper!C31</f>
        <v>66.083333333333329</v>
      </c>
      <c r="D4" s="408">
        <f>Static!C5</f>
        <v>50</v>
      </c>
      <c r="E4" s="409">
        <f>MSRP!M7</f>
        <v>40</v>
      </c>
      <c r="F4" s="410">
        <f>'Fuel Economy-Endurance  '!F10</f>
        <v>200</v>
      </c>
      <c r="G4" s="408">
        <f>Oral!AZ4</f>
        <v>66.395348837209298</v>
      </c>
      <c r="H4" s="411">
        <f>Noise!H5</f>
        <v>250</v>
      </c>
      <c r="I4" s="359">
        <f>Acceleration!F5</f>
        <v>43.837209302325562</v>
      </c>
      <c r="J4" s="408">
        <f>'Lab Emissions'!Q4</f>
        <v>70</v>
      </c>
      <c r="K4" s="408">
        <f>'In Service Emissions'!L6</f>
        <v>84.27649016016079</v>
      </c>
      <c r="L4" s="408">
        <f>'Cold Start'!D4:D5</f>
        <v>50</v>
      </c>
      <c r="M4" s="408">
        <f>'Drawbar Pull'!I6</f>
        <v>5</v>
      </c>
      <c r="N4" s="412">
        <f>'Penalties and Bonuses'!K4</f>
        <v>100</v>
      </c>
      <c r="O4" s="157">
        <f t="shared" ref="O4:O11" si="0">SUM(C4:N4)</f>
        <v>1025.5923816330289</v>
      </c>
      <c r="R4" s="51"/>
    </row>
    <row r="5" spans="1:18">
      <c r="A5" s="105">
        <v>102</v>
      </c>
      <c r="B5" s="105" t="s">
        <v>153</v>
      </c>
      <c r="C5" s="407">
        <f>Paper!D31</f>
        <v>74.333333333333329</v>
      </c>
      <c r="D5" s="408">
        <f>Static!C6</f>
        <v>50</v>
      </c>
      <c r="E5" s="409">
        <f>MSRP!M8</f>
        <v>34.608991352688435</v>
      </c>
      <c r="F5" s="410">
        <f>'Fuel Economy-Endurance  '!F11</f>
        <v>200</v>
      </c>
      <c r="G5" s="408">
        <f>Oral!AZ5</f>
        <v>57.677777777777777</v>
      </c>
      <c r="H5" s="411">
        <f>Noise!H6</f>
        <v>200</v>
      </c>
      <c r="I5" s="359">
        <f>Acceleration!F6</f>
        <v>0</v>
      </c>
      <c r="J5" s="408">
        <f>'Lab Emissions'!Q5</f>
        <v>22.5</v>
      </c>
      <c r="K5" s="408">
        <f>'In Service Emissions'!L7</f>
        <v>62.798625070245969</v>
      </c>
      <c r="L5" s="408">
        <f>'Cold Start'!D5:D6</f>
        <v>50</v>
      </c>
      <c r="M5" s="408">
        <f>'Drawbar Pull'!I7</f>
        <v>29.057017543859644</v>
      </c>
      <c r="N5" s="412">
        <f>'Penalties and Bonuses'!K5</f>
        <v>-20</v>
      </c>
      <c r="O5" s="157">
        <f t="shared" si="0"/>
        <v>760.97574507790512</v>
      </c>
      <c r="R5" s="51"/>
    </row>
    <row r="6" spans="1:18">
      <c r="A6" s="105">
        <v>103</v>
      </c>
      <c r="B6" s="105" t="s">
        <v>154</v>
      </c>
      <c r="C6" s="407">
        <f>Paper!E31</f>
        <v>53.444444444444443</v>
      </c>
      <c r="D6" s="408">
        <f>Static!C7</f>
        <v>50</v>
      </c>
      <c r="E6" s="409">
        <f>MSRP!M9</f>
        <v>41.809776287561462</v>
      </c>
      <c r="F6" s="410">
        <v>0</v>
      </c>
      <c r="G6" s="408">
        <f>Oral!AZ6</f>
        <v>73.722222222222229</v>
      </c>
      <c r="H6" s="411">
        <f>Noise!H7</f>
        <v>7.5</v>
      </c>
      <c r="I6" s="359">
        <f>Acceleration!F7</f>
        <v>49.999999999999986</v>
      </c>
      <c r="J6" s="408">
        <f>'Lab Emissions'!Q6</f>
        <v>306.39</v>
      </c>
      <c r="K6" s="408">
        <f>'In Service Emissions'!L8</f>
        <v>100</v>
      </c>
      <c r="L6" s="408">
        <f>'Cold Start'!D6:D7</f>
        <v>0</v>
      </c>
      <c r="M6" s="408">
        <f>'Drawbar Pull'!I8</f>
        <v>100</v>
      </c>
      <c r="N6" s="412">
        <f>'Penalties and Bonuses'!K6</f>
        <v>0</v>
      </c>
      <c r="O6" s="157">
        <f t="shared" si="0"/>
        <v>782.86644295422809</v>
      </c>
      <c r="R6" s="51"/>
    </row>
    <row r="7" spans="1:18">
      <c r="A7" s="105">
        <v>104</v>
      </c>
      <c r="B7" s="105" t="s">
        <v>155</v>
      </c>
      <c r="C7" s="407">
        <f>Paper!F31</f>
        <v>35.777777777777779</v>
      </c>
      <c r="D7" s="408">
        <f>Static!C8</f>
        <v>50</v>
      </c>
      <c r="E7" s="409">
        <f>MSRP!M10</f>
        <v>6</v>
      </c>
      <c r="F7" s="410">
        <f>'Fuel Economy-Endurance  '!F13</f>
        <v>0</v>
      </c>
      <c r="G7" s="408">
        <f>Oral!AZ7</f>
        <v>50.797619047619051</v>
      </c>
      <c r="H7" s="411">
        <f>Noise!H8</f>
        <v>0</v>
      </c>
      <c r="I7" s="359">
        <f>Acceleration!F8</f>
        <v>0</v>
      </c>
      <c r="J7" s="408">
        <f>'Lab Emissions'!Q7</f>
        <v>0</v>
      </c>
      <c r="K7" s="408">
        <f>'In Service Emissions'!L9</f>
        <v>0</v>
      </c>
      <c r="L7" s="408">
        <f>'Cold Start'!D7:D8</f>
        <v>0</v>
      </c>
      <c r="M7" s="408">
        <f>'Drawbar Pull'!I9</f>
        <v>0</v>
      </c>
      <c r="N7" s="412">
        <f>'Penalties and Bonuses'!K7</f>
        <v>0</v>
      </c>
      <c r="O7" s="157">
        <f t="shared" si="0"/>
        <v>142.57539682539681</v>
      </c>
      <c r="R7" s="51"/>
    </row>
    <row r="8" spans="1:18">
      <c r="A8" s="105">
        <v>105</v>
      </c>
      <c r="B8" s="105" t="s">
        <v>156</v>
      </c>
      <c r="C8" s="407">
        <f>Paper!G31</f>
        <v>83.63636363636364</v>
      </c>
      <c r="D8" s="408">
        <f>Static!C9</f>
        <v>50</v>
      </c>
      <c r="E8" s="409">
        <f>MSRP!M11</f>
        <v>20.614084258361679</v>
      </c>
      <c r="F8" s="410">
        <f>'Fuel Economy-Endurance  '!F14</f>
        <v>100</v>
      </c>
      <c r="G8" s="408">
        <f>Oral!AZ8</f>
        <v>78.219512195121951</v>
      </c>
      <c r="H8" s="411">
        <f>Noise!H9</f>
        <v>157.5</v>
      </c>
      <c r="I8" s="359">
        <f>Acceleration!F9</f>
        <v>0</v>
      </c>
      <c r="J8" s="408">
        <f>'Lab Emissions'!Q8</f>
        <v>284.97000000000003</v>
      </c>
      <c r="K8" s="408">
        <f>'In Service Emissions'!L10</f>
        <v>2.5</v>
      </c>
      <c r="L8" s="408">
        <f>'Cold Start'!D8:D9</f>
        <v>0</v>
      </c>
      <c r="M8" s="408">
        <f>'Drawbar Pull'!I10</f>
        <v>17.708333333333336</v>
      </c>
      <c r="N8" s="412">
        <f>'Penalties and Bonuses'!K8</f>
        <v>-70</v>
      </c>
      <c r="O8" s="157">
        <f t="shared" si="0"/>
        <v>725.14829342318069</v>
      </c>
      <c r="R8" s="51"/>
    </row>
    <row r="9" spans="1:18">
      <c r="A9" s="105">
        <v>111</v>
      </c>
      <c r="B9" s="105" t="s">
        <v>157</v>
      </c>
      <c r="C9" s="407">
        <f>Paper!H31</f>
        <v>53</v>
      </c>
      <c r="D9" s="408">
        <f>Static!C10</f>
        <v>50</v>
      </c>
      <c r="E9" s="409">
        <f>MSRP!M12</f>
        <v>39.942780664786184</v>
      </c>
      <c r="F9" s="410">
        <f>'Fuel Economy-Endurance  '!F15</f>
        <v>0</v>
      </c>
      <c r="G9" s="408">
        <f>Oral!AZ9</f>
        <v>58.448717948717949</v>
      </c>
      <c r="H9" s="411">
        <f>Noise!H10</f>
        <v>0</v>
      </c>
      <c r="I9" s="359">
        <f>Acceleration!F10</f>
        <v>0</v>
      </c>
      <c r="J9" s="408">
        <f>'Lab Emissions'!Q9</f>
        <v>0</v>
      </c>
      <c r="K9" s="408">
        <f>'In Service Emissions'!L11</f>
        <v>0</v>
      </c>
      <c r="L9" s="408">
        <f>'Cold Start'!D9:D10</f>
        <v>0</v>
      </c>
      <c r="M9" s="408">
        <f>'Drawbar Pull'!I11</f>
        <v>0</v>
      </c>
      <c r="N9" s="412">
        <f>'Penalties and Bonuses'!K9</f>
        <v>0</v>
      </c>
      <c r="O9" s="157">
        <f t="shared" si="0"/>
        <v>201.39149861350415</v>
      </c>
      <c r="R9" s="51"/>
    </row>
    <row r="10" spans="1:18">
      <c r="A10" s="105">
        <v>112</v>
      </c>
      <c r="B10" s="105" t="s">
        <v>158</v>
      </c>
      <c r="C10" s="407">
        <f>Paper!I31</f>
        <v>59.777777777777779</v>
      </c>
      <c r="D10" s="408">
        <f>Static!C11</f>
        <v>50</v>
      </c>
      <c r="E10" s="409">
        <f>MSRP!M13</f>
        <v>46.15462308469634</v>
      </c>
      <c r="F10" s="410">
        <v>0</v>
      </c>
      <c r="G10" s="408">
        <f>Oral!AZ10</f>
        <v>48.821428571428569</v>
      </c>
      <c r="H10" s="411">
        <v>0</v>
      </c>
      <c r="I10" s="359">
        <f>Acceleration!F11</f>
        <v>0</v>
      </c>
      <c r="J10" s="408">
        <f>'Lab Emissions'!Q10</f>
        <v>0</v>
      </c>
      <c r="K10" s="408">
        <f>'In Service Emissions'!L12</f>
        <v>0</v>
      </c>
      <c r="L10" s="408">
        <f>'Cold Start'!D10:D11</f>
        <v>0</v>
      </c>
      <c r="M10" s="408">
        <f>'Drawbar Pull'!I12</f>
        <v>0</v>
      </c>
      <c r="N10" s="412">
        <f>'Penalties and Bonuses'!K10</f>
        <v>0</v>
      </c>
      <c r="O10" s="157">
        <f t="shared" si="0"/>
        <v>204.75382943390269</v>
      </c>
      <c r="R10" s="51"/>
    </row>
    <row r="11" spans="1:18">
      <c r="A11" s="105">
        <v>113</v>
      </c>
      <c r="B11" s="105" t="s">
        <v>159</v>
      </c>
      <c r="C11" s="407">
        <f>Paper!J31</f>
        <v>50.636363636363633</v>
      </c>
      <c r="D11" s="408">
        <f>Static!C12</f>
        <v>50</v>
      </c>
      <c r="E11" s="409">
        <f>MSRP!M14</f>
        <v>32.5444883566851</v>
      </c>
      <c r="F11" s="410">
        <v>0</v>
      </c>
      <c r="G11" s="408">
        <f>Oral!AZ11</f>
        <v>40.565789473684212</v>
      </c>
      <c r="H11" s="411">
        <v>0</v>
      </c>
      <c r="I11" s="359">
        <f>Acceleration!F12</f>
        <v>0</v>
      </c>
      <c r="J11" s="408">
        <f>'Lab Emissions'!Q11</f>
        <v>0</v>
      </c>
      <c r="K11" s="408">
        <f>'In Service Emissions'!L13</f>
        <v>0</v>
      </c>
      <c r="L11" s="408">
        <f>'Cold Start'!D11:D12</f>
        <v>0</v>
      </c>
      <c r="M11" s="408">
        <f>'Drawbar Pull'!I13</f>
        <v>0</v>
      </c>
      <c r="N11" s="412">
        <f>'Penalties and Bonuses'!K11</f>
        <v>0</v>
      </c>
      <c r="O11" s="157">
        <f t="shared" si="0"/>
        <v>173.74664146673294</v>
      </c>
      <c r="R11" s="51"/>
    </row>
    <row r="12" spans="1:18">
      <c r="B12" s="2" t="s">
        <v>37</v>
      </c>
      <c r="C12" s="2" t="s">
        <v>37</v>
      </c>
      <c r="D12" s="2" t="s">
        <v>37</v>
      </c>
      <c r="E12" s="2" t="s">
        <v>37</v>
      </c>
      <c r="F12" s="2" t="s">
        <v>37</v>
      </c>
      <c r="G12" s="154" t="s">
        <v>37</v>
      </c>
      <c r="H12" s="2" t="s">
        <v>37</v>
      </c>
      <c r="I12" s="2" t="s">
        <v>37</v>
      </c>
      <c r="J12" s="2" t="s">
        <v>37</v>
      </c>
      <c r="K12" s="2" t="s">
        <v>37</v>
      </c>
      <c r="L12" s="2" t="s">
        <v>37</v>
      </c>
      <c r="M12" s="2" t="s">
        <v>37</v>
      </c>
      <c r="N12" s="13"/>
    </row>
    <row r="13" spans="1:18">
      <c r="B13" s="19"/>
      <c r="C13" s="19"/>
      <c r="D13" s="16" t="s">
        <v>17</v>
      </c>
      <c r="E13" s="16"/>
      <c r="F13" s="16"/>
      <c r="G13" s="29"/>
      <c r="H13" s="29"/>
      <c r="I13" s="56"/>
      <c r="L13" s="45"/>
      <c r="M13" s="30"/>
      <c r="N13" s="9"/>
    </row>
    <row r="14" spans="1:18">
      <c r="B14" s="19"/>
      <c r="C14" s="19"/>
      <c r="D14" s="19" t="s">
        <v>19</v>
      </c>
      <c r="E14" s="5"/>
      <c r="F14" s="5"/>
      <c r="G14" s="19" t="s">
        <v>20</v>
      </c>
      <c r="H14" s="19" t="s">
        <v>22</v>
      </c>
      <c r="L14" s="45"/>
      <c r="M14" s="30"/>
      <c r="N14" s="9"/>
    </row>
    <row r="15" spans="1:18">
      <c r="B15" s="19"/>
      <c r="C15" s="19"/>
      <c r="D15" s="19" t="s">
        <v>18</v>
      </c>
      <c r="E15" s="5"/>
      <c r="F15" s="5"/>
      <c r="G15" s="19" t="s">
        <v>8</v>
      </c>
      <c r="H15" s="19" t="s">
        <v>21</v>
      </c>
      <c r="L15" s="45"/>
      <c r="M15" s="30"/>
      <c r="N15" s="9"/>
    </row>
    <row r="16" spans="1:18">
      <c r="A16" s="105">
        <v>101</v>
      </c>
      <c r="B16" s="105" t="s">
        <v>152</v>
      </c>
      <c r="C16" s="66"/>
      <c r="D16" s="328" t="s">
        <v>202</v>
      </c>
      <c r="E16" s="235"/>
      <c r="F16" s="235"/>
      <c r="G16" s="16">
        <f t="shared" ref="G16:G23" si="1">SUM(C4:N4)</f>
        <v>1025.5923816330289</v>
      </c>
      <c r="H16" s="5">
        <v>3</v>
      </c>
      <c r="I16" s="116" t="s">
        <v>208</v>
      </c>
      <c r="L16" s="45"/>
      <c r="M16" s="30"/>
      <c r="N16" s="18"/>
    </row>
    <row r="17" spans="1:14">
      <c r="A17" s="105">
        <v>102</v>
      </c>
      <c r="B17" s="105" t="s">
        <v>153</v>
      </c>
      <c r="C17" s="66"/>
      <c r="D17" s="115" t="str">
        <f t="shared" ref="D17:D23" si="2">IF(AND(J5&gt;0,H5&gt;0,I5&gt;0),(C5+G5+D5),"Not Eligible")</f>
        <v>Not Eligible</v>
      </c>
      <c r="E17" s="235"/>
      <c r="F17" s="235"/>
      <c r="G17" s="16">
        <f t="shared" si="1"/>
        <v>760.97574507790512</v>
      </c>
      <c r="H17" s="5">
        <v>4</v>
      </c>
      <c r="I17" s="116" t="s">
        <v>204</v>
      </c>
      <c r="L17" s="45"/>
      <c r="M17" s="30"/>
      <c r="N17" s="18"/>
    </row>
    <row r="18" spans="1:14">
      <c r="A18" s="105">
        <v>103</v>
      </c>
      <c r="B18" s="105" t="s">
        <v>154</v>
      </c>
      <c r="C18" s="66"/>
      <c r="D18" s="115">
        <f t="shared" si="2"/>
        <v>177.16666666666669</v>
      </c>
      <c r="E18" s="235"/>
      <c r="F18" s="235"/>
      <c r="G18" s="16">
        <f t="shared" si="1"/>
        <v>782.86644295422809</v>
      </c>
      <c r="H18" s="5">
        <v>1</v>
      </c>
      <c r="I18" s="116"/>
      <c r="L18" s="45"/>
      <c r="M18" s="30"/>
      <c r="N18" s="18"/>
    </row>
    <row r="19" spans="1:14">
      <c r="A19" s="105">
        <v>104</v>
      </c>
      <c r="B19" s="105" t="s">
        <v>155</v>
      </c>
      <c r="C19" s="66"/>
      <c r="D19" s="115" t="str">
        <f t="shared" si="2"/>
        <v>Not Eligible</v>
      </c>
      <c r="E19" s="235"/>
      <c r="F19" s="235"/>
      <c r="G19" s="16">
        <f t="shared" si="1"/>
        <v>142.57539682539681</v>
      </c>
      <c r="H19" s="5">
        <v>8</v>
      </c>
      <c r="I19" s="116" t="s">
        <v>204</v>
      </c>
      <c r="L19" s="45"/>
      <c r="M19" s="30"/>
      <c r="N19" s="18"/>
    </row>
    <row r="20" spans="1:14">
      <c r="A20" s="105">
        <v>105</v>
      </c>
      <c r="B20" s="105" t="s">
        <v>156</v>
      </c>
      <c r="C20" s="66"/>
      <c r="D20" s="66" t="str">
        <f t="shared" si="2"/>
        <v>Not Eligible</v>
      </c>
      <c r="E20" s="235"/>
      <c r="F20" s="235"/>
      <c r="G20" s="16">
        <f t="shared" si="1"/>
        <v>725.14829342318069</v>
      </c>
      <c r="H20" s="5">
        <v>2</v>
      </c>
      <c r="I20" s="116"/>
      <c r="L20" s="45"/>
      <c r="M20" s="30"/>
      <c r="N20" s="18"/>
    </row>
    <row r="21" spans="1:14">
      <c r="A21" s="105">
        <v>111</v>
      </c>
      <c r="B21" s="105" t="s">
        <v>157</v>
      </c>
      <c r="C21" s="66"/>
      <c r="D21" s="66" t="str">
        <f t="shared" si="2"/>
        <v>Not Eligible</v>
      </c>
      <c r="E21" s="235"/>
      <c r="F21" s="235"/>
      <c r="G21" s="16">
        <f t="shared" si="1"/>
        <v>201.39149861350415</v>
      </c>
      <c r="H21" s="5">
        <v>6</v>
      </c>
      <c r="I21" s="116" t="s">
        <v>204</v>
      </c>
      <c r="L21" s="45"/>
      <c r="M21" s="30"/>
      <c r="N21" s="18"/>
    </row>
    <row r="22" spans="1:14">
      <c r="A22" s="105">
        <v>112</v>
      </c>
      <c r="B22" s="105" t="s">
        <v>158</v>
      </c>
      <c r="C22" s="66"/>
      <c r="D22" s="66" t="str">
        <f t="shared" si="2"/>
        <v>Not Eligible</v>
      </c>
      <c r="E22" s="235"/>
      <c r="F22" s="235"/>
      <c r="G22" s="16">
        <f t="shared" si="1"/>
        <v>204.75382943390269</v>
      </c>
      <c r="H22" s="5">
        <v>5</v>
      </c>
      <c r="I22" s="116" t="s">
        <v>204</v>
      </c>
      <c r="L22" s="45"/>
      <c r="M22" s="30"/>
      <c r="N22" s="18"/>
    </row>
    <row r="23" spans="1:14">
      <c r="A23" s="105">
        <v>113</v>
      </c>
      <c r="B23" s="105" t="s">
        <v>159</v>
      </c>
      <c r="C23" s="66"/>
      <c r="D23" s="66" t="str">
        <f t="shared" si="2"/>
        <v>Not Eligible</v>
      </c>
      <c r="E23" s="235"/>
      <c r="F23" s="235"/>
      <c r="G23" s="16">
        <f t="shared" si="1"/>
        <v>173.74664146673294</v>
      </c>
      <c r="H23" s="5">
        <v>7</v>
      </c>
      <c r="I23" s="116" t="s">
        <v>204</v>
      </c>
      <c r="L23" s="45"/>
      <c r="M23" s="30"/>
      <c r="N23" s="18"/>
    </row>
    <row r="24" spans="1:14" s="56" customFormat="1">
      <c r="B24" s="102"/>
      <c r="C24" s="131"/>
      <c r="D24" s="131"/>
      <c r="E24" s="132"/>
      <c r="F24" s="132"/>
      <c r="G24" s="129"/>
      <c r="H24" s="133"/>
      <c r="I24" s="57"/>
      <c r="J24" s="32"/>
      <c r="K24" s="106"/>
      <c r="L24" s="57"/>
      <c r="M24" s="57"/>
      <c r="N24" s="57"/>
    </row>
    <row r="25" spans="1:14" s="56" customFormat="1" ht="30.6" customHeight="1">
      <c r="B25" s="388" t="s">
        <v>216</v>
      </c>
      <c r="C25" s="414" t="str">
        <f>B18</f>
        <v>Univ of Wisconsin - Platteville</v>
      </c>
      <c r="D25" s="415"/>
      <c r="E25" s="416"/>
      <c r="F25" s="417"/>
      <c r="G25" s="320"/>
      <c r="H25" s="417"/>
      <c r="I25" s="57"/>
      <c r="J25" s="32"/>
      <c r="K25" s="106"/>
      <c r="L25" s="57"/>
      <c r="M25" s="57"/>
      <c r="N25" s="57"/>
    </row>
    <row r="26" spans="1:14" s="56" customFormat="1" ht="31.5">
      <c r="B26" s="388" t="s">
        <v>215</v>
      </c>
      <c r="C26" s="415" t="str">
        <f>B20</f>
        <v>Kettering Univ</v>
      </c>
      <c r="D26" s="418"/>
      <c r="E26" s="415"/>
      <c r="F26" s="419"/>
      <c r="G26" s="420"/>
      <c r="H26" s="421"/>
      <c r="I26" s="57"/>
      <c r="J26" s="32"/>
      <c r="K26" s="106"/>
      <c r="L26" s="57"/>
      <c r="M26" s="57"/>
      <c r="N26" s="57"/>
    </row>
    <row r="27" spans="1:14" s="56" customFormat="1" ht="15.75">
      <c r="B27" s="389" t="s">
        <v>218</v>
      </c>
      <c r="C27" s="428" t="s">
        <v>217</v>
      </c>
      <c r="D27" s="428"/>
      <c r="E27" s="428"/>
      <c r="F27" s="419"/>
      <c r="G27" s="420"/>
      <c r="H27" s="421"/>
      <c r="I27" s="33"/>
      <c r="J27" s="139"/>
      <c r="K27" s="106"/>
      <c r="L27" s="33"/>
      <c r="M27" s="33"/>
      <c r="N27" s="33"/>
    </row>
    <row r="28" spans="1:14" s="56" customFormat="1" ht="17.100000000000001" customHeight="1">
      <c r="B28" s="389" t="s">
        <v>221</v>
      </c>
      <c r="C28" s="430" t="str">
        <f>B6</f>
        <v>Univ of Wisconsin - Platteville</v>
      </c>
      <c r="D28" s="430"/>
      <c r="E28" s="430"/>
      <c r="F28" s="419"/>
      <c r="G28" s="420"/>
      <c r="H28" s="421"/>
      <c r="I28" s="33"/>
      <c r="J28" s="139"/>
      <c r="K28" s="106"/>
      <c r="L28" s="33"/>
      <c r="M28" s="33"/>
      <c r="N28" s="33"/>
    </row>
    <row r="29" spans="1:14" s="56" customFormat="1" ht="19.5" customHeight="1">
      <c r="B29" s="390" t="s">
        <v>209</v>
      </c>
      <c r="C29" s="428" t="str">
        <f>B18</f>
        <v>Univ of Wisconsin - Platteville</v>
      </c>
      <c r="D29" s="428"/>
      <c r="E29" s="428"/>
      <c r="F29" s="419"/>
      <c r="G29" s="420"/>
      <c r="H29" s="421"/>
      <c r="I29" s="33"/>
      <c r="J29" s="139"/>
      <c r="K29" s="106"/>
      <c r="L29" s="33"/>
      <c r="M29" s="33"/>
      <c r="N29" s="33"/>
    </row>
    <row r="30" spans="1:14" s="56" customFormat="1" ht="14.45" customHeight="1">
      <c r="B30" s="389" t="s">
        <v>222</v>
      </c>
      <c r="C30" s="429" t="str">
        <f>B18</f>
        <v>Univ of Wisconsin - Platteville</v>
      </c>
      <c r="D30" s="429"/>
      <c r="E30" s="429"/>
      <c r="F30" s="419"/>
      <c r="G30" s="400"/>
      <c r="H30" s="400"/>
      <c r="I30" s="33"/>
      <c r="J30" s="139"/>
      <c r="K30" s="106"/>
      <c r="L30" s="33"/>
      <c r="M30" s="33"/>
      <c r="N30" s="33"/>
    </row>
    <row r="31" spans="1:14" s="56" customFormat="1" ht="14.45" customHeight="1">
      <c r="B31" s="389" t="s">
        <v>210</v>
      </c>
      <c r="C31" s="429" t="str">
        <f>B16</f>
        <v>Ecole De Technologie Superieure</v>
      </c>
      <c r="D31" s="429"/>
      <c r="E31" s="429"/>
      <c r="F31" s="396" t="s">
        <v>224</v>
      </c>
      <c r="G31" s="406" t="s">
        <v>225</v>
      </c>
      <c r="H31" s="400"/>
      <c r="I31" s="33"/>
      <c r="J31" s="139"/>
      <c r="K31" s="106"/>
      <c r="L31" s="33"/>
      <c r="M31" s="33"/>
      <c r="N31" s="33"/>
    </row>
    <row r="32" spans="1:14" s="56" customFormat="1" ht="14.45" customHeight="1">
      <c r="B32" s="388" t="s">
        <v>211</v>
      </c>
      <c r="C32" s="427" t="str">
        <f>B4</f>
        <v>Ecole De Technologie Superieure</v>
      </c>
      <c r="D32" s="427"/>
      <c r="E32" s="427"/>
      <c r="F32" s="396"/>
      <c r="G32" s="406"/>
      <c r="H32" s="400"/>
      <c r="I32" s="33"/>
      <c r="J32" s="139"/>
      <c r="K32" s="106"/>
      <c r="L32" s="33"/>
      <c r="M32" s="33"/>
      <c r="N32" s="33"/>
    </row>
    <row r="33" spans="2:11" ht="14.45" customHeight="1">
      <c r="B33" s="390" t="s">
        <v>212</v>
      </c>
      <c r="C33" s="425" t="str">
        <f>B20</f>
        <v>Kettering Univ</v>
      </c>
      <c r="D33" s="425"/>
      <c r="E33" s="425"/>
      <c r="F33" s="419"/>
      <c r="G33" s="400"/>
      <c r="H33" s="400"/>
    </row>
    <row r="34" spans="2:11" ht="31.5">
      <c r="B34" s="391" t="s">
        <v>219</v>
      </c>
      <c r="C34" s="425" t="str">
        <f>B20</f>
        <v>Kettering Univ</v>
      </c>
      <c r="D34" s="425"/>
      <c r="E34" s="425"/>
      <c r="F34" s="419"/>
      <c r="G34" s="268"/>
      <c r="H34" s="268"/>
    </row>
    <row r="35" spans="2:11" ht="31.5">
      <c r="B35" s="391" t="s">
        <v>213</v>
      </c>
      <c r="C35" s="426" t="str">
        <f>B20</f>
        <v>Kettering Univ</v>
      </c>
      <c r="D35" s="426"/>
      <c r="E35" s="426"/>
      <c r="F35" s="419"/>
      <c r="G35" s="268"/>
      <c r="H35" s="268"/>
    </row>
    <row r="36" spans="2:11" ht="15">
      <c r="B36" s="392" t="s">
        <v>223</v>
      </c>
      <c r="C36" s="426" t="str">
        <f>B23</f>
        <v>South Dakota School of Mines &amp; Tech</v>
      </c>
      <c r="D36" s="426"/>
      <c r="E36" s="426"/>
      <c r="F36" s="419"/>
      <c r="G36" s="268"/>
      <c r="H36" s="268"/>
    </row>
    <row r="37" spans="2:11" ht="15">
      <c r="B37" s="393" t="s">
        <v>214</v>
      </c>
      <c r="C37" s="422" t="str">
        <f>B16</f>
        <v>Ecole De Technologie Superieure</v>
      </c>
      <c r="D37" s="423"/>
      <c r="E37" s="423"/>
      <c r="F37" s="396" t="str">
        <f>B17</f>
        <v>SUNY - Buffalo</v>
      </c>
      <c r="G37" s="424" t="str">
        <f>B20</f>
        <v>Kettering Univ</v>
      </c>
      <c r="H37" s="268"/>
    </row>
    <row r="38" spans="2:11" ht="15">
      <c r="B38" s="394" t="s">
        <v>220</v>
      </c>
      <c r="C38" s="395" t="str">
        <f>B18</f>
        <v>Univ of Wisconsin - Platteville</v>
      </c>
      <c r="D38" s="396"/>
      <c r="E38" s="397"/>
      <c r="F38" s="419"/>
      <c r="G38" s="268"/>
      <c r="H38" s="268"/>
    </row>
    <row r="39" spans="2:11" s="1" customFormat="1" ht="15">
      <c r="B39" s="216"/>
      <c r="C39" s="232"/>
      <c r="D39" s="16"/>
      <c r="E39" s="24"/>
      <c r="F39" s="66"/>
      <c r="J39" s="141"/>
      <c r="K39" s="52"/>
    </row>
    <row r="40" spans="2:11" s="1" customFormat="1">
      <c r="B40" s="142"/>
      <c r="C40" s="233"/>
      <c r="D40" s="234"/>
      <c r="J40" s="141"/>
      <c r="K40" s="52"/>
    </row>
    <row r="41" spans="2:11" s="1" customFormat="1">
      <c r="B41" s="142"/>
      <c r="D41" s="52"/>
      <c r="J41" s="141"/>
      <c r="K41" s="52"/>
    </row>
    <row r="42" spans="2:11" s="1" customFormat="1">
      <c r="B42" s="142"/>
      <c r="D42" s="52"/>
      <c r="J42" s="141"/>
      <c r="K42" s="52"/>
    </row>
    <row r="43" spans="2:11" s="1" customFormat="1">
      <c r="B43" s="142"/>
      <c r="D43" s="52"/>
      <c r="J43" s="141"/>
      <c r="K43" s="52"/>
    </row>
    <row r="44" spans="2:11" s="1" customFormat="1">
      <c r="B44" s="142"/>
      <c r="D44" s="52"/>
      <c r="J44" s="141"/>
      <c r="K44" s="52"/>
    </row>
    <row r="45" spans="2:11" s="1" customFormat="1">
      <c r="B45" s="142"/>
      <c r="D45" s="52"/>
      <c r="J45" s="141"/>
      <c r="K45" s="52"/>
    </row>
    <row r="46" spans="2:11" s="1" customFormat="1">
      <c r="B46" s="142"/>
      <c r="D46" s="52"/>
      <c r="J46" s="141"/>
      <c r="K46" s="52"/>
    </row>
  </sheetData>
  <mergeCells count="10">
    <mergeCell ref="C29:E29"/>
    <mergeCell ref="C30:E30"/>
    <mergeCell ref="C28:E28"/>
    <mergeCell ref="C27:E27"/>
    <mergeCell ref="C31:E31"/>
    <mergeCell ref="C34:E34"/>
    <mergeCell ref="C35:E35"/>
    <mergeCell ref="C36:E36"/>
    <mergeCell ref="C32:E32"/>
    <mergeCell ref="C33:E33"/>
  </mergeCells>
  <phoneticPr fontId="19" type="noConversion"/>
  <printOptions gridLines="1"/>
  <pageMargins left="0.75" right="0.75" top="1" bottom="1" header="0.5" footer="0.5"/>
  <pageSetup scale="59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J88"/>
  <sheetViews>
    <sheetView zoomScaleNormal="100" zoomScalePageLayoutView="125" workbookViewId="0"/>
  </sheetViews>
  <sheetFormatPr defaultColWidth="8.85546875" defaultRowHeight="12.75"/>
  <cols>
    <col min="2" max="2" width="47" customWidth="1"/>
    <col min="3" max="3" width="12.5703125" customWidth="1"/>
    <col min="4" max="4" width="12.42578125" customWidth="1"/>
    <col min="5" max="5" width="8.42578125" customWidth="1"/>
    <col min="6" max="6" width="13.42578125" customWidth="1"/>
    <col min="7" max="7" width="15.42578125" customWidth="1"/>
    <col min="8" max="9" width="9.42578125" customWidth="1"/>
    <col min="10" max="10" width="9.140625" customWidth="1"/>
    <col min="12" max="12" width="10" style="179" customWidth="1"/>
    <col min="13" max="13" width="25.42578125" style="3" customWidth="1"/>
    <col min="14" max="14" width="10.5703125" style="3" customWidth="1"/>
    <col min="15" max="15" width="8.5703125" style="3" customWidth="1"/>
    <col min="16" max="16" width="3" style="3" customWidth="1"/>
    <col min="17" max="23" width="8.5703125" style="36" customWidth="1"/>
    <col min="24" max="24" width="10" style="36" customWidth="1"/>
    <col min="25" max="26" width="8.5703125" style="36" customWidth="1"/>
    <col min="27" max="27" width="8.5703125" customWidth="1"/>
    <col min="28" max="28" width="2.140625" customWidth="1"/>
    <col min="29" max="29" width="16.42578125" style="3" customWidth="1"/>
    <col min="30" max="30" width="12.5703125" style="3" customWidth="1"/>
    <col min="31" max="34" width="8.5703125" customWidth="1"/>
  </cols>
  <sheetData>
    <row r="1" spans="1:36" ht="18.75">
      <c r="B1" s="94" t="s">
        <v>166</v>
      </c>
      <c r="C1" s="20"/>
      <c r="D1" s="20"/>
      <c r="E1" s="20"/>
      <c r="F1" s="20" t="s">
        <v>77</v>
      </c>
      <c r="G1" s="140">
        <f>MIN(C6:C7)</f>
        <v>2.036</v>
      </c>
      <c r="H1" s="20"/>
      <c r="I1" s="20" t="s">
        <v>79</v>
      </c>
      <c r="J1" s="20"/>
      <c r="K1" s="187">
        <f>MIN(I6:I11)</f>
        <v>18.30985915492958</v>
      </c>
      <c r="L1" s="170"/>
      <c r="M1" s="25"/>
      <c r="N1" s="25"/>
      <c r="O1" s="25"/>
      <c r="P1" s="25"/>
      <c r="Q1" s="95"/>
      <c r="R1" s="68"/>
      <c r="S1" s="69"/>
      <c r="T1" s="69"/>
      <c r="U1" s="69"/>
      <c r="V1" s="69"/>
      <c r="W1" s="69"/>
      <c r="X1" s="69"/>
      <c r="Y1" s="69"/>
      <c r="Z1" s="69"/>
      <c r="AA1" s="70"/>
      <c r="AB1" s="71"/>
      <c r="AC1" s="72"/>
      <c r="AD1" s="52"/>
      <c r="AE1" s="1"/>
      <c r="AF1" s="1"/>
      <c r="AG1" s="1"/>
    </row>
    <row r="2" spans="1:36">
      <c r="B2" s="65"/>
      <c r="C2" s="23"/>
      <c r="D2" s="23"/>
      <c r="E2" s="23"/>
      <c r="F2" s="23" t="s">
        <v>78</v>
      </c>
      <c r="G2" s="140">
        <v>2.09</v>
      </c>
      <c r="H2" s="23"/>
      <c r="I2" s="23" t="s">
        <v>80</v>
      </c>
      <c r="J2" s="23"/>
      <c r="K2" s="186">
        <f>MAX(I6:I11)</f>
        <v>33.333333333333336</v>
      </c>
      <c r="L2" s="171"/>
      <c r="M2" s="96"/>
      <c r="N2" s="44"/>
      <c r="O2" s="44"/>
      <c r="P2" s="44"/>
      <c r="Q2" s="97"/>
      <c r="R2" s="75"/>
      <c r="S2" s="75"/>
      <c r="T2" s="69"/>
      <c r="U2" s="69"/>
      <c r="V2" s="69"/>
      <c r="W2" s="69"/>
      <c r="X2" s="69"/>
      <c r="Y2" s="69"/>
      <c r="Z2" s="69"/>
      <c r="AA2" s="70"/>
      <c r="AB2" s="71"/>
      <c r="AC2" s="72"/>
      <c r="AD2" s="52"/>
      <c r="AE2" s="1"/>
      <c r="AF2" s="1"/>
      <c r="AG2" s="1"/>
    </row>
    <row r="3" spans="1:36">
      <c r="B3" s="214"/>
      <c r="C3" s="15" t="s">
        <v>69</v>
      </c>
      <c r="D3" s="22"/>
      <c r="E3" s="22"/>
      <c r="F3" s="22"/>
      <c r="G3" s="22"/>
      <c r="H3" s="22"/>
      <c r="I3" s="22"/>
      <c r="J3" s="22"/>
      <c r="K3" s="15"/>
      <c r="L3" s="172"/>
      <c r="M3" s="25"/>
      <c r="N3" s="22"/>
      <c r="O3" s="22"/>
      <c r="P3" s="22"/>
      <c r="Q3" s="98"/>
      <c r="R3" s="77"/>
      <c r="S3" s="75"/>
      <c r="T3" s="69"/>
      <c r="U3" s="69"/>
      <c r="V3" s="69"/>
      <c r="W3" s="69"/>
      <c r="X3" s="69"/>
      <c r="Y3" s="69"/>
      <c r="Z3" s="69"/>
      <c r="AA3" s="70"/>
      <c r="AB3" s="71"/>
      <c r="AC3" s="72"/>
      <c r="AD3" s="52"/>
      <c r="AE3" s="1"/>
      <c r="AF3" s="1"/>
      <c r="AG3" s="1"/>
    </row>
    <row r="4" spans="1:36">
      <c r="B4" s="15"/>
      <c r="C4" s="15"/>
      <c r="D4" s="22"/>
      <c r="E4" s="22"/>
      <c r="F4" s="22" t="s">
        <v>37</v>
      </c>
      <c r="G4" s="22"/>
      <c r="H4" s="22"/>
      <c r="I4" s="22"/>
      <c r="J4" s="22"/>
      <c r="K4" s="22"/>
      <c r="L4" s="172"/>
      <c r="M4" s="25"/>
      <c r="N4" s="22"/>
      <c r="O4" s="22"/>
      <c r="P4" s="22"/>
      <c r="Q4" s="98"/>
      <c r="R4" s="77"/>
      <c r="S4" s="75"/>
      <c r="T4" s="69"/>
      <c r="U4" s="69"/>
      <c r="V4" s="69"/>
      <c r="W4" s="69"/>
      <c r="X4" s="69"/>
      <c r="Y4" s="69"/>
      <c r="Z4" s="69"/>
      <c r="AA4" s="70"/>
      <c r="AB4" s="71"/>
      <c r="AC4" s="72"/>
      <c r="AD4" s="52"/>
      <c r="AE4" s="1"/>
      <c r="AF4" s="1"/>
      <c r="AG4" s="1"/>
    </row>
    <row r="5" spans="1:36" ht="25.5">
      <c r="C5" s="256" t="s">
        <v>125</v>
      </c>
      <c r="D5" s="34" t="s">
        <v>68</v>
      </c>
      <c r="E5" s="22" t="s">
        <v>23</v>
      </c>
      <c r="F5" s="22"/>
      <c r="G5" s="256" t="s">
        <v>130</v>
      </c>
      <c r="H5" s="256" t="s">
        <v>88</v>
      </c>
      <c r="I5" s="34" t="s">
        <v>117</v>
      </c>
      <c r="J5" s="34" t="s">
        <v>41</v>
      </c>
      <c r="K5" s="34"/>
      <c r="L5" s="172" t="s">
        <v>49</v>
      </c>
      <c r="M5" s="258" t="s">
        <v>89</v>
      </c>
      <c r="N5" s="19"/>
      <c r="O5" s="25"/>
      <c r="P5" s="25"/>
      <c r="Q5" s="95"/>
      <c r="R5" s="68"/>
      <c r="S5" s="68"/>
      <c r="T5" s="68"/>
      <c r="U5" s="68"/>
      <c r="V5" s="68"/>
      <c r="W5" s="68"/>
      <c r="X5" s="68"/>
      <c r="Y5" s="68"/>
      <c r="Z5" s="68"/>
      <c r="AA5" s="67"/>
      <c r="AB5" s="78"/>
      <c r="AC5" s="79"/>
    </row>
    <row r="6" spans="1:36" ht="15">
      <c r="A6">
        <v>101</v>
      </c>
      <c r="B6" t="s">
        <v>152</v>
      </c>
      <c r="C6" s="257">
        <v>2.036</v>
      </c>
      <c r="D6" s="169">
        <v>46.883024251069891</v>
      </c>
      <c r="E6" s="152">
        <v>2</v>
      </c>
      <c r="F6" s="130"/>
      <c r="G6" s="244">
        <v>4.3999999999999997E-2</v>
      </c>
      <c r="H6" s="324">
        <v>1.3</v>
      </c>
      <c r="I6" s="184">
        <v>29.545454545454547</v>
      </c>
      <c r="J6" s="231">
        <v>37.393465909090899</v>
      </c>
      <c r="K6" s="152">
        <v>2</v>
      </c>
      <c r="L6" s="286">
        <v>84.27649016016079</v>
      </c>
      <c r="M6" s="259"/>
      <c r="N6" s="100"/>
      <c r="O6" s="25"/>
      <c r="P6" s="25"/>
      <c r="Q6" s="99"/>
      <c r="R6" s="68"/>
      <c r="S6" s="68"/>
      <c r="T6" s="68"/>
      <c r="U6" s="68"/>
      <c r="V6" s="68"/>
      <c r="W6" s="68"/>
      <c r="X6" s="68"/>
      <c r="Y6" s="68"/>
      <c r="Z6" s="68"/>
      <c r="AA6" s="67"/>
      <c r="AB6" s="78"/>
      <c r="AC6" s="79"/>
      <c r="AI6" s="27"/>
      <c r="AJ6" s="27"/>
    </row>
    <row r="7" spans="1:36" ht="15">
      <c r="A7">
        <v>102</v>
      </c>
      <c r="B7" t="s">
        <v>153</v>
      </c>
      <c r="C7" s="322">
        <v>2.1429999999999998</v>
      </c>
      <c r="D7" s="169">
        <v>44.466238706609602</v>
      </c>
      <c r="E7" s="152">
        <v>3</v>
      </c>
      <c r="F7" s="285"/>
      <c r="G7" s="325">
        <v>5.5E-2</v>
      </c>
      <c r="H7" s="326">
        <v>1.31</v>
      </c>
      <c r="I7" s="184">
        <v>23.81818181818182</v>
      </c>
      <c r="J7" s="231">
        <v>18.332386363636367</v>
      </c>
      <c r="K7" s="152">
        <v>3</v>
      </c>
      <c r="L7" s="286">
        <v>62.798625070245969</v>
      </c>
      <c r="M7" s="259"/>
      <c r="N7" s="100"/>
      <c r="O7" s="25"/>
      <c r="P7" s="25"/>
      <c r="Q7" s="95"/>
      <c r="R7" s="68"/>
      <c r="S7" s="68"/>
      <c r="T7" s="68"/>
      <c r="U7" s="68"/>
      <c r="V7" s="68"/>
      <c r="W7" s="68"/>
      <c r="X7" s="68"/>
      <c r="Y7" s="68"/>
      <c r="Z7" s="68"/>
      <c r="AA7" s="67"/>
      <c r="AB7" s="78"/>
      <c r="AC7" s="79"/>
      <c r="AI7" s="27"/>
      <c r="AJ7" s="27"/>
    </row>
    <row r="8" spans="1:36" ht="15">
      <c r="A8">
        <v>103</v>
      </c>
      <c r="B8" t="s">
        <v>154</v>
      </c>
      <c r="C8" s="323">
        <v>1.8979999999999999</v>
      </c>
      <c r="D8" s="169">
        <v>49.999999999999993</v>
      </c>
      <c r="E8" s="152">
        <v>1</v>
      </c>
      <c r="F8" s="285"/>
      <c r="G8" s="325">
        <v>3.9E-2</v>
      </c>
      <c r="H8" s="326">
        <v>1.3</v>
      </c>
      <c r="I8" s="184">
        <v>33.333333333333336</v>
      </c>
      <c r="J8" s="231">
        <v>50.000000000000007</v>
      </c>
      <c r="K8" s="152">
        <v>1</v>
      </c>
      <c r="L8" s="286">
        <v>100</v>
      </c>
      <c r="M8" s="259"/>
      <c r="N8" s="82"/>
      <c r="O8" s="83"/>
      <c r="P8" s="80"/>
      <c r="Q8" s="90"/>
      <c r="R8" s="90"/>
      <c r="S8" s="90"/>
      <c r="T8" s="90"/>
      <c r="U8" s="90"/>
      <c r="V8" s="90"/>
      <c r="W8" s="90"/>
      <c r="X8" s="90"/>
      <c r="Y8" s="90"/>
      <c r="Z8" s="90"/>
      <c r="AA8" s="84"/>
      <c r="AB8" s="89"/>
      <c r="AC8" s="91"/>
      <c r="AD8" s="40"/>
      <c r="AE8" s="28"/>
      <c r="AF8" s="28"/>
      <c r="AG8" s="28"/>
      <c r="AH8" s="28"/>
      <c r="AI8" s="27"/>
      <c r="AJ8" s="27"/>
    </row>
    <row r="9" spans="1:36" ht="15">
      <c r="A9">
        <v>104</v>
      </c>
      <c r="B9" t="s">
        <v>155</v>
      </c>
      <c r="C9" s="323"/>
      <c r="D9" s="169"/>
      <c r="E9" s="152"/>
      <c r="F9" s="285"/>
      <c r="G9" s="325"/>
      <c r="H9" s="326"/>
      <c r="I9" s="184"/>
      <c r="J9" s="231"/>
      <c r="K9" s="152"/>
      <c r="L9" s="286"/>
      <c r="M9" s="259"/>
      <c r="N9" s="82"/>
      <c r="O9" s="83"/>
      <c r="P9" s="80"/>
      <c r="Q9" s="90"/>
      <c r="R9" s="90"/>
      <c r="S9" s="90"/>
      <c r="T9" s="90"/>
      <c r="U9" s="90"/>
      <c r="V9" s="90"/>
      <c r="W9" s="90"/>
      <c r="X9" s="90"/>
      <c r="Y9" s="90"/>
      <c r="Z9" s="90"/>
      <c r="AA9" s="84"/>
      <c r="AB9" s="89"/>
      <c r="AC9" s="91"/>
      <c r="AD9" s="40"/>
      <c r="AE9" s="28"/>
      <c r="AF9" s="28"/>
      <c r="AG9" s="28"/>
      <c r="AH9" s="28"/>
      <c r="AI9" s="27"/>
      <c r="AJ9" s="27"/>
    </row>
    <row r="10" spans="1:36" ht="15">
      <c r="A10">
        <v>105</v>
      </c>
      <c r="B10" t="s">
        <v>156</v>
      </c>
      <c r="C10" s="323">
        <v>4.0010000000000003</v>
      </c>
      <c r="D10" s="169">
        <v>2.5</v>
      </c>
      <c r="E10" s="152">
        <v>4</v>
      </c>
      <c r="F10" s="285"/>
      <c r="G10" s="325">
        <v>7.0999999999999994E-2</v>
      </c>
      <c r="H10" s="326">
        <v>1.3</v>
      </c>
      <c r="I10" s="184">
        <v>18.30985915492958</v>
      </c>
      <c r="J10" s="231">
        <v>0</v>
      </c>
      <c r="K10" s="152">
        <v>4</v>
      </c>
      <c r="L10" s="286">
        <v>2.5</v>
      </c>
      <c r="M10" s="259"/>
      <c r="N10" s="82"/>
      <c r="O10" s="83"/>
      <c r="P10" s="8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84"/>
      <c r="AB10" s="92"/>
      <c r="AC10" s="91"/>
    </row>
    <row r="11" spans="1:36" ht="15">
      <c r="A11">
        <v>111</v>
      </c>
      <c r="B11" t="s">
        <v>157</v>
      </c>
      <c r="C11" s="323"/>
      <c r="D11" s="169"/>
      <c r="E11" s="152"/>
      <c r="F11" s="285"/>
      <c r="G11" s="325"/>
      <c r="H11" s="326"/>
      <c r="I11" s="184"/>
      <c r="J11" s="231"/>
      <c r="K11" s="152"/>
      <c r="L11" s="286"/>
      <c r="M11" s="259"/>
      <c r="N11" s="82"/>
      <c r="O11" s="83"/>
      <c r="P11" s="8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84"/>
      <c r="AB11" s="92"/>
      <c r="AC11" s="91"/>
    </row>
    <row r="12" spans="1:36" ht="15">
      <c r="A12">
        <v>112</v>
      </c>
      <c r="B12" t="s">
        <v>158</v>
      </c>
      <c r="C12" s="329"/>
      <c r="D12" s="330"/>
      <c r="E12" s="331"/>
      <c r="F12" s="285"/>
      <c r="G12" s="325"/>
      <c r="H12" s="326"/>
      <c r="I12" s="184"/>
      <c r="J12" s="231"/>
      <c r="K12" s="152"/>
      <c r="L12" s="286"/>
      <c r="M12" s="259"/>
      <c r="N12" s="82"/>
      <c r="O12" s="83"/>
      <c r="P12" s="8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84"/>
      <c r="AB12" s="92"/>
      <c r="AC12" s="91"/>
    </row>
    <row r="13" spans="1:36" ht="15">
      <c r="A13">
        <v>113</v>
      </c>
      <c r="B13" t="s">
        <v>159</v>
      </c>
      <c r="C13" s="329"/>
      <c r="D13" s="330"/>
      <c r="E13" s="331"/>
      <c r="F13" s="285"/>
      <c r="G13" s="325"/>
      <c r="H13" s="326"/>
      <c r="I13" s="184"/>
      <c r="J13" s="231"/>
      <c r="K13" s="152"/>
      <c r="L13" s="286"/>
      <c r="M13" s="259"/>
      <c r="N13" s="82"/>
      <c r="O13" s="83"/>
      <c r="P13" s="8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84"/>
      <c r="AB13" s="92"/>
      <c r="AC13" s="91"/>
    </row>
    <row r="14" spans="1:36" ht="15">
      <c r="B14" s="236"/>
      <c r="C14" s="82"/>
      <c r="D14" s="82"/>
      <c r="E14" s="82"/>
      <c r="F14" s="284"/>
      <c r="G14" s="284"/>
      <c r="H14" s="284"/>
      <c r="I14" s="184"/>
      <c r="J14" s="231"/>
      <c r="K14" s="152"/>
      <c r="L14" s="286"/>
      <c r="M14" s="260"/>
      <c r="N14" s="74"/>
      <c r="O14" s="83"/>
      <c r="P14" s="80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84"/>
      <c r="AB14" s="92"/>
      <c r="AC14" s="91"/>
    </row>
    <row r="15" spans="1:36">
      <c r="B15" s="73"/>
      <c r="C15" s="82"/>
      <c r="D15" s="82"/>
      <c r="E15" s="82"/>
      <c r="F15" s="82"/>
      <c r="G15" s="82"/>
      <c r="H15" s="82"/>
      <c r="I15" s="82"/>
      <c r="J15" s="82"/>
      <c r="K15" s="287"/>
      <c r="L15" s="173"/>
      <c r="M15" s="82"/>
      <c r="N15" s="82"/>
      <c r="O15" s="83"/>
      <c r="P15" s="8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84"/>
      <c r="AB15" s="92"/>
      <c r="AC15" s="91"/>
    </row>
    <row r="16" spans="1:36" ht="15">
      <c r="B16" s="73"/>
      <c r="C16" s="82"/>
      <c r="D16" s="82"/>
      <c r="E16" s="82"/>
      <c r="F16" s="82"/>
      <c r="G16" s="241">
        <f>(50)/(K2-K1)</f>
        <v>3.328125</v>
      </c>
      <c r="H16" s="82"/>
      <c r="J16" s="82"/>
      <c r="K16" s="82"/>
      <c r="L16" s="173"/>
      <c r="M16" s="82"/>
      <c r="N16" s="82"/>
      <c r="O16" s="83"/>
      <c r="P16" s="8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84"/>
      <c r="AB16" s="92"/>
      <c r="AC16" s="91"/>
    </row>
    <row r="17" spans="2:29" ht="15">
      <c r="B17" s="73" t="s">
        <v>126</v>
      </c>
      <c r="C17" s="241">
        <v>-248.69</v>
      </c>
      <c r="E17" s="109"/>
      <c r="F17" s="82"/>
      <c r="G17" s="242">
        <f>-(G16*K1)</f>
        <v>-60.937500000000007</v>
      </c>
      <c r="H17" s="82"/>
      <c r="J17" s="82"/>
      <c r="K17" s="82"/>
      <c r="L17" s="173"/>
      <c r="M17" s="82"/>
      <c r="N17" s="74"/>
      <c r="O17" s="83"/>
      <c r="P17" s="80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84"/>
      <c r="AB17" s="92"/>
      <c r="AC17" s="91"/>
    </row>
    <row r="18" spans="2:29" ht="15">
      <c r="B18" s="73" t="s">
        <v>127</v>
      </c>
      <c r="C18" s="242">
        <v>522.51</v>
      </c>
      <c r="E18" s="127" t="s">
        <v>37</v>
      </c>
      <c r="F18" s="74"/>
      <c r="G18" s="74"/>
      <c r="H18" s="74"/>
      <c r="I18" s="74"/>
      <c r="J18" s="74"/>
      <c r="K18" s="74"/>
      <c r="L18" s="173"/>
      <c r="M18" s="74"/>
      <c r="N18" s="74"/>
      <c r="O18" s="83"/>
      <c r="P18" s="80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84"/>
      <c r="AB18" s="92"/>
      <c r="AC18" s="91"/>
    </row>
    <row r="19" spans="2:29" ht="15">
      <c r="B19" s="73"/>
      <c r="C19" s="74"/>
      <c r="D19" s="126"/>
      <c r="E19" s="126"/>
      <c r="F19" s="82"/>
      <c r="G19" s="82"/>
      <c r="H19" s="82"/>
      <c r="I19" s="82"/>
      <c r="J19" s="82"/>
      <c r="K19" s="82"/>
      <c r="L19" s="173"/>
      <c r="M19" s="82"/>
      <c r="N19" s="82"/>
      <c r="O19" s="83"/>
      <c r="P19" s="8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84"/>
      <c r="AB19" s="92"/>
      <c r="AC19" s="91"/>
    </row>
    <row r="20" spans="2:29">
      <c r="B20" s="73"/>
      <c r="C20" s="82"/>
      <c r="D20" s="82" t="s">
        <v>63</v>
      </c>
      <c r="E20" s="82"/>
      <c r="F20" s="82"/>
      <c r="G20" s="82"/>
      <c r="H20" s="82"/>
      <c r="I20" s="82"/>
      <c r="J20" s="82"/>
      <c r="K20" s="82"/>
      <c r="L20" s="173"/>
      <c r="M20" s="82"/>
      <c r="N20" s="82"/>
      <c r="O20" s="83"/>
      <c r="P20" s="8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84"/>
      <c r="AB20" s="92"/>
      <c r="AC20" s="91"/>
    </row>
    <row r="21" spans="2:29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173"/>
      <c r="M21" s="74"/>
      <c r="N21" s="74"/>
      <c r="O21" s="83"/>
      <c r="P21" s="80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84"/>
      <c r="AB21" s="92"/>
      <c r="AC21" s="91"/>
    </row>
    <row r="22" spans="2:29">
      <c r="B22" s="73"/>
      <c r="C22" s="93"/>
      <c r="D22" s="82"/>
      <c r="E22" s="82"/>
      <c r="F22" s="82"/>
      <c r="G22" s="82"/>
      <c r="H22" s="82"/>
      <c r="I22" s="82"/>
      <c r="J22" s="82"/>
      <c r="K22" s="82"/>
      <c r="L22" s="173"/>
      <c r="M22" s="82"/>
      <c r="N22" s="82"/>
      <c r="O22" s="83"/>
      <c r="P22" s="8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84"/>
      <c r="AB22" s="92"/>
      <c r="AC22" s="91"/>
    </row>
    <row r="23" spans="2:29">
      <c r="B23" s="73"/>
      <c r="C23" s="82"/>
      <c r="D23" s="82"/>
      <c r="E23" s="82"/>
      <c r="F23" s="82"/>
      <c r="G23" s="82"/>
      <c r="H23" s="82"/>
      <c r="I23" s="82"/>
      <c r="J23" s="82"/>
      <c r="K23" s="82"/>
      <c r="L23" s="173"/>
      <c r="M23" s="82"/>
      <c r="N23" s="82"/>
      <c r="O23" s="84"/>
      <c r="P23" s="8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84"/>
      <c r="AB23" s="92"/>
      <c r="AC23" s="72"/>
    </row>
    <row r="24" spans="2:29">
      <c r="B24" s="73"/>
      <c r="C24" s="74"/>
      <c r="D24" s="74"/>
      <c r="E24" s="124"/>
      <c r="F24" s="62"/>
      <c r="G24" s="62"/>
      <c r="H24" s="74"/>
      <c r="I24" s="74"/>
      <c r="J24" s="74"/>
      <c r="K24" s="74"/>
      <c r="L24" s="173"/>
      <c r="M24" s="74"/>
      <c r="N24" s="74"/>
      <c r="O24" s="83"/>
      <c r="P24" s="80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84"/>
      <c r="AB24" s="92"/>
      <c r="AC24" s="91"/>
    </row>
    <row r="25" spans="2:29">
      <c r="B25" s="73"/>
      <c r="C25" s="82"/>
      <c r="D25" s="82"/>
      <c r="E25" s="62"/>
      <c r="F25" s="62"/>
      <c r="G25" s="123"/>
      <c r="H25" s="120"/>
      <c r="I25" s="120"/>
      <c r="J25" s="120"/>
      <c r="K25" s="82"/>
      <c r="L25" s="173"/>
      <c r="M25" s="82"/>
      <c r="N25" s="82"/>
      <c r="O25" s="83"/>
      <c r="P25" s="8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84"/>
      <c r="AB25" s="92"/>
      <c r="AC25" s="91"/>
    </row>
    <row r="26" spans="2:29">
      <c r="B26" s="73"/>
      <c r="C26" s="82"/>
      <c r="D26" s="74"/>
      <c r="E26" s="62"/>
      <c r="F26" s="62"/>
      <c r="G26" s="62"/>
      <c r="H26" s="74"/>
      <c r="I26" s="74"/>
      <c r="J26" s="74"/>
      <c r="K26" s="74"/>
      <c r="L26" s="173"/>
      <c r="M26" s="74"/>
      <c r="N26" s="74"/>
      <c r="O26" s="83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84"/>
      <c r="AB26" s="92"/>
      <c r="AC26" s="91"/>
    </row>
    <row r="27" spans="2:29">
      <c r="B27" s="67"/>
      <c r="C27" s="74"/>
      <c r="D27" s="74"/>
      <c r="E27" s="74"/>
      <c r="F27" s="74"/>
      <c r="G27" s="74"/>
      <c r="H27" s="74"/>
      <c r="I27" s="74"/>
      <c r="J27" s="74"/>
      <c r="K27" s="74"/>
      <c r="L27" s="1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92"/>
      <c r="AC27" s="72"/>
    </row>
    <row r="28" spans="2:29">
      <c r="B28" s="67"/>
      <c r="C28" s="74"/>
      <c r="D28" s="74"/>
      <c r="E28" s="74"/>
      <c r="F28" s="74"/>
      <c r="G28" s="74"/>
      <c r="H28" s="74"/>
      <c r="I28" s="74"/>
      <c r="J28" s="74"/>
      <c r="K28" s="74"/>
      <c r="L28" s="1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92"/>
      <c r="AC28" s="72"/>
    </row>
    <row r="29" spans="2:29">
      <c r="B29" s="67"/>
      <c r="C29" s="76"/>
      <c r="D29" s="76"/>
      <c r="E29" s="76"/>
      <c r="F29" s="76"/>
      <c r="G29" s="76"/>
      <c r="H29" s="76"/>
      <c r="I29" s="76"/>
      <c r="J29" s="76"/>
      <c r="K29" s="76"/>
      <c r="L29" s="174"/>
      <c r="M29" s="76"/>
      <c r="N29" s="76"/>
      <c r="O29" s="76"/>
      <c r="P29" s="74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92"/>
      <c r="AC29" s="72"/>
    </row>
    <row r="30" spans="2:29">
      <c r="B30" s="86"/>
      <c r="C30" s="74"/>
      <c r="D30" s="74"/>
      <c r="E30" s="74"/>
      <c r="F30" s="74"/>
      <c r="G30" s="74"/>
      <c r="H30" s="74"/>
      <c r="I30" s="74"/>
      <c r="J30" s="74"/>
      <c r="K30" s="74"/>
      <c r="L30" s="173"/>
      <c r="M30" s="74"/>
      <c r="N30" s="74"/>
      <c r="O30" s="83"/>
      <c r="P30" s="80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84"/>
      <c r="AB30" s="92"/>
      <c r="AC30" s="91"/>
    </row>
    <row r="31" spans="2:29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173"/>
      <c r="M31" s="74"/>
      <c r="N31" s="74"/>
      <c r="O31" s="83"/>
      <c r="P31" s="80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84"/>
      <c r="AB31" s="92"/>
      <c r="AC31" s="91"/>
    </row>
    <row r="32" spans="2:29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173"/>
      <c r="M32" s="74"/>
      <c r="N32" s="74"/>
      <c r="O32" s="83"/>
      <c r="P32" s="80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84"/>
      <c r="AB32" s="92"/>
      <c r="AC32" s="91"/>
    </row>
    <row r="33" spans="2:29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173"/>
      <c r="M33" s="74"/>
      <c r="N33" s="74"/>
      <c r="O33" s="83"/>
      <c r="P33" s="80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84"/>
      <c r="AB33" s="92"/>
      <c r="AC33" s="91"/>
    </row>
    <row r="34" spans="2:29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173"/>
      <c r="M34" s="74"/>
      <c r="N34" s="74"/>
      <c r="O34" s="83"/>
      <c r="P34" s="80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84"/>
      <c r="AB34" s="92"/>
      <c r="AC34" s="91"/>
    </row>
    <row r="35" spans="2:29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173"/>
      <c r="M35" s="74"/>
      <c r="N35" s="74"/>
      <c r="O35" s="83"/>
      <c r="P35" s="80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84"/>
      <c r="AB35" s="92"/>
      <c r="AC35" s="91"/>
    </row>
    <row r="36" spans="2:29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173"/>
      <c r="M36" s="74"/>
      <c r="N36" s="74"/>
      <c r="O36" s="83"/>
      <c r="P36" s="80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84"/>
      <c r="AB36" s="92"/>
      <c r="AC36" s="91"/>
    </row>
    <row r="37" spans="2:29"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173"/>
      <c r="M37" s="74"/>
      <c r="N37" s="74"/>
      <c r="O37" s="83"/>
      <c r="P37" s="80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84"/>
      <c r="AB37" s="92"/>
      <c r="AC37" s="91"/>
    </row>
    <row r="38" spans="2:29"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173"/>
      <c r="M38" s="74"/>
      <c r="N38" s="74"/>
      <c r="O38" s="83"/>
      <c r="P38" s="80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84"/>
      <c r="AB38" s="92"/>
      <c r="AC38" s="91"/>
    </row>
    <row r="39" spans="2:29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173"/>
      <c r="M39" s="74"/>
      <c r="N39" s="74"/>
      <c r="O39" s="83"/>
      <c r="P39" s="80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84"/>
      <c r="AB39" s="92"/>
      <c r="AC39" s="91"/>
    </row>
    <row r="40" spans="2:29"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173"/>
      <c r="M40" s="74"/>
      <c r="N40" s="74"/>
      <c r="O40" s="83"/>
      <c r="P40" s="80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84"/>
      <c r="AB40" s="92"/>
      <c r="AC40" s="91"/>
    </row>
    <row r="41" spans="2:29"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173"/>
      <c r="M41" s="74"/>
      <c r="N41" s="74"/>
      <c r="O41" s="83"/>
      <c r="P41" s="80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84"/>
      <c r="AB41" s="92"/>
      <c r="AC41" s="91"/>
    </row>
    <row r="42" spans="2:29"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173"/>
      <c r="M42" s="74"/>
      <c r="N42" s="74"/>
      <c r="O42" s="83"/>
      <c r="P42" s="80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84"/>
      <c r="AB42" s="92"/>
      <c r="AC42" s="91"/>
    </row>
    <row r="43" spans="2:29">
      <c r="B43" s="73"/>
      <c r="C43" s="82"/>
      <c r="D43" s="82"/>
      <c r="E43" s="82"/>
      <c r="F43" s="82"/>
      <c r="G43" s="82"/>
      <c r="H43" s="82"/>
      <c r="I43" s="82"/>
      <c r="J43" s="82"/>
      <c r="K43" s="82"/>
      <c r="L43" s="173"/>
      <c r="M43" s="82"/>
      <c r="N43" s="82"/>
      <c r="O43" s="84"/>
      <c r="P43" s="80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4"/>
      <c r="AB43" s="92"/>
      <c r="AC43" s="72"/>
    </row>
    <row r="44" spans="2:29"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173"/>
      <c r="M44" s="74"/>
      <c r="N44" s="74"/>
      <c r="O44" s="83"/>
      <c r="P44" s="80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84"/>
      <c r="AB44" s="92"/>
      <c r="AC44" s="91"/>
    </row>
    <row r="45" spans="2:29"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173"/>
      <c r="M45" s="74"/>
      <c r="N45" s="74"/>
      <c r="O45" s="83"/>
      <c r="P45" s="80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84"/>
      <c r="AB45" s="92"/>
      <c r="AC45" s="91"/>
    </row>
    <row r="46" spans="2:29">
      <c r="B46" s="73"/>
      <c r="C46" s="92"/>
      <c r="D46" s="92"/>
      <c r="E46" s="92"/>
      <c r="F46" s="92"/>
      <c r="G46" s="92"/>
      <c r="H46" s="92"/>
      <c r="I46" s="92"/>
      <c r="J46" s="92"/>
      <c r="K46" s="92"/>
      <c r="L46" s="175"/>
      <c r="M46" s="92"/>
      <c r="N46" s="92"/>
      <c r="O46" s="87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88"/>
      <c r="AB46" s="92"/>
      <c r="AC46" s="72"/>
    </row>
    <row r="47" spans="2:29">
      <c r="B47" s="78"/>
      <c r="C47" s="92"/>
      <c r="D47" s="92"/>
      <c r="E47" s="92"/>
      <c r="F47" s="92"/>
      <c r="G47" s="92"/>
      <c r="H47" s="92"/>
      <c r="I47" s="92"/>
      <c r="J47" s="92"/>
      <c r="K47" s="92"/>
      <c r="L47" s="175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72"/>
    </row>
    <row r="48" spans="2:29">
      <c r="B48" s="78"/>
      <c r="C48" s="72"/>
      <c r="D48" s="72"/>
      <c r="E48" s="72"/>
      <c r="F48" s="72"/>
      <c r="G48" s="72"/>
      <c r="H48" s="72"/>
      <c r="I48" s="72"/>
      <c r="J48" s="72"/>
      <c r="K48" s="72"/>
      <c r="L48" s="176"/>
      <c r="M48" s="72"/>
      <c r="N48" s="72"/>
      <c r="O48" s="9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2:29"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177"/>
      <c r="M49" s="79"/>
      <c r="N49" s="79"/>
      <c r="O49" s="85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</row>
    <row r="50" spans="2:29"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177"/>
      <c r="M50" s="79"/>
      <c r="N50" s="79"/>
      <c r="O50" s="85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</row>
    <row r="51" spans="2:29"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177"/>
      <c r="M51" s="79"/>
      <c r="N51" s="79"/>
      <c r="O51" s="85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</row>
    <row r="52" spans="2:29"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177"/>
      <c r="M52" s="79"/>
      <c r="N52" s="79"/>
      <c r="O52" s="85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</row>
    <row r="53" spans="2:29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178"/>
      <c r="M53" s="79"/>
      <c r="N53" s="79"/>
      <c r="O53" s="85"/>
      <c r="P53" s="79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78"/>
      <c r="AB53" s="78"/>
      <c r="AC53" s="79"/>
    </row>
    <row r="54" spans="2:29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178"/>
      <c r="M54" s="79"/>
      <c r="N54" s="79"/>
      <c r="O54" s="85"/>
      <c r="P54" s="79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78"/>
      <c r="AB54" s="78"/>
      <c r="AC54" s="79"/>
    </row>
    <row r="55" spans="2:29">
      <c r="B55" s="78"/>
      <c r="O55" s="37"/>
    </row>
    <row r="56" spans="2:29">
      <c r="O56" s="37"/>
    </row>
    <row r="57" spans="2:29">
      <c r="O57" s="37"/>
    </row>
    <row r="58" spans="2:29">
      <c r="O58" s="37"/>
    </row>
    <row r="59" spans="2:29">
      <c r="O59" s="37"/>
    </row>
    <row r="60" spans="2:29">
      <c r="O60" s="37"/>
    </row>
    <row r="61" spans="2:29">
      <c r="O61" s="37"/>
    </row>
    <row r="62" spans="2:29">
      <c r="O62" s="37"/>
    </row>
    <row r="63" spans="2:29">
      <c r="O63" s="37"/>
    </row>
    <row r="64" spans="2:29">
      <c r="O64" s="37"/>
    </row>
    <row r="65" spans="15:15">
      <c r="O65" s="37"/>
    </row>
    <row r="66" spans="15:15">
      <c r="O66" s="37"/>
    </row>
    <row r="67" spans="15:15">
      <c r="O67" s="37"/>
    </row>
    <row r="68" spans="15:15">
      <c r="O68" s="37"/>
    </row>
    <row r="69" spans="15:15">
      <c r="O69" s="37"/>
    </row>
    <row r="70" spans="15:15">
      <c r="O70" s="37"/>
    </row>
    <row r="71" spans="15:15">
      <c r="O71" s="37"/>
    </row>
    <row r="72" spans="15:15">
      <c r="O72" s="37"/>
    </row>
    <row r="73" spans="15:15">
      <c r="O73" s="37"/>
    </row>
    <row r="74" spans="15:15">
      <c r="O74" s="37"/>
    </row>
    <row r="75" spans="15:15">
      <c r="O75" s="37"/>
    </row>
    <row r="76" spans="15:15">
      <c r="O76" s="37"/>
    </row>
    <row r="77" spans="15:15">
      <c r="O77" s="37"/>
    </row>
    <row r="78" spans="15:15">
      <c r="O78" s="37"/>
    </row>
    <row r="79" spans="15:15">
      <c r="O79" s="37"/>
    </row>
    <row r="80" spans="15:15">
      <c r="O80" s="37"/>
    </row>
    <row r="81" spans="15:15">
      <c r="O81" s="37"/>
    </row>
    <row r="82" spans="15:15">
      <c r="O82" s="37"/>
    </row>
    <row r="83" spans="15:15">
      <c r="O83" s="37"/>
    </row>
    <row r="84" spans="15:15">
      <c r="O84" s="37"/>
    </row>
    <row r="85" spans="15:15">
      <c r="O85" s="37"/>
    </row>
    <row r="86" spans="15:15">
      <c r="O86" s="37"/>
    </row>
    <row r="87" spans="15:15">
      <c r="O87" s="37"/>
    </row>
    <row r="88" spans="15:15">
      <c r="O88" s="37"/>
    </row>
  </sheetData>
  <phoneticPr fontId="19" type="noConversion"/>
  <pageMargins left="0.75" right="0.75" top="1" bottom="1" header="0.5" footer="0.5"/>
  <pageSetup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workbookViewId="0"/>
  </sheetViews>
  <sheetFormatPr defaultColWidth="8.85546875" defaultRowHeight="12.75"/>
  <cols>
    <col min="2" max="2" width="48.5703125" customWidth="1"/>
    <col min="3" max="3" width="17.5703125" bestFit="1" customWidth="1"/>
    <col min="4" max="4" width="14.5703125" style="119" customWidth="1"/>
    <col min="5" max="5" width="8.85546875" style="3"/>
  </cols>
  <sheetData>
    <row r="1" spans="1:6" ht="18.75">
      <c r="B1" s="7" t="s">
        <v>167</v>
      </c>
      <c r="C1" s="6"/>
      <c r="D1" s="151"/>
      <c r="E1" s="17"/>
      <c r="F1" s="6"/>
    </row>
    <row r="2" spans="1:6">
      <c r="B2" s="145"/>
      <c r="C2" s="10"/>
      <c r="D2" s="151"/>
      <c r="E2" s="161"/>
      <c r="F2" s="6"/>
    </row>
    <row r="3" spans="1:6">
      <c r="B3" s="12"/>
      <c r="C3" s="14" t="s">
        <v>16</v>
      </c>
      <c r="D3" s="47" t="s">
        <v>13</v>
      </c>
      <c r="E3" s="161"/>
      <c r="F3" s="161"/>
    </row>
    <row r="4" spans="1:6">
      <c r="A4">
        <v>101</v>
      </c>
      <c r="B4" t="s">
        <v>152</v>
      </c>
      <c r="C4" s="243" t="s">
        <v>135</v>
      </c>
      <c r="D4" s="314">
        <f t="shared" ref="D4:D11" si="0">IF(C4="fail",0,50)</f>
        <v>50</v>
      </c>
      <c r="E4" s="161"/>
      <c r="F4" s="6"/>
    </row>
    <row r="5" spans="1:6">
      <c r="A5">
        <v>102</v>
      </c>
      <c r="B5" t="s">
        <v>153</v>
      </c>
      <c r="C5" s="243" t="s">
        <v>135</v>
      </c>
      <c r="D5" s="314">
        <f t="shared" si="0"/>
        <v>50</v>
      </c>
      <c r="E5" s="161"/>
      <c r="F5" s="6"/>
    </row>
    <row r="6" spans="1:6">
      <c r="A6">
        <v>103</v>
      </c>
      <c r="B6" t="s">
        <v>154</v>
      </c>
      <c r="C6" s="243" t="s">
        <v>148</v>
      </c>
      <c r="D6" s="314">
        <f t="shared" si="0"/>
        <v>0</v>
      </c>
    </row>
    <row r="7" spans="1:6">
      <c r="A7">
        <v>104</v>
      </c>
      <c r="B7" t="s">
        <v>155</v>
      </c>
      <c r="C7" s="243" t="s">
        <v>148</v>
      </c>
      <c r="D7" s="314">
        <f t="shared" si="0"/>
        <v>0</v>
      </c>
    </row>
    <row r="8" spans="1:6">
      <c r="A8">
        <v>105</v>
      </c>
      <c r="B8" t="s">
        <v>156</v>
      </c>
      <c r="C8" s="243" t="s">
        <v>148</v>
      </c>
      <c r="D8" s="314">
        <f t="shared" si="0"/>
        <v>0</v>
      </c>
    </row>
    <row r="9" spans="1:6">
      <c r="A9">
        <v>111</v>
      </c>
      <c r="B9" t="s">
        <v>157</v>
      </c>
      <c r="C9" s="243" t="s">
        <v>148</v>
      </c>
      <c r="D9" s="314">
        <f t="shared" si="0"/>
        <v>0</v>
      </c>
    </row>
    <row r="10" spans="1:6">
      <c r="A10">
        <v>112</v>
      </c>
      <c r="B10" t="s">
        <v>158</v>
      </c>
      <c r="C10" s="243" t="s">
        <v>148</v>
      </c>
      <c r="D10" s="314">
        <f t="shared" si="0"/>
        <v>0</v>
      </c>
    </row>
    <row r="11" spans="1:6">
      <c r="A11">
        <v>113</v>
      </c>
      <c r="B11" t="s">
        <v>159</v>
      </c>
      <c r="C11" s="243" t="s">
        <v>201</v>
      </c>
      <c r="D11" s="314">
        <f t="shared" si="0"/>
        <v>0</v>
      </c>
    </row>
    <row r="12" spans="1:6">
      <c r="D12" s="201"/>
    </row>
    <row r="13" spans="1:6">
      <c r="D13" s="201"/>
    </row>
    <row r="14" spans="1:6">
      <c r="C14" s="202"/>
      <c r="D14" s="201"/>
    </row>
  </sheetData>
  <phoneticPr fontId="19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N21"/>
  <sheetViews>
    <sheetView zoomScaleNormal="100" workbookViewId="0"/>
  </sheetViews>
  <sheetFormatPr defaultColWidth="8.85546875" defaultRowHeight="12.75"/>
  <cols>
    <col min="2" max="2" width="49.42578125" customWidth="1"/>
    <col min="3" max="3" width="10" customWidth="1"/>
    <col min="4" max="4" width="10.42578125" customWidth="1"/>
    <col min="5" max="5" width="13.42578125" customWidth="1"/>
    <col min="6" max="6" width="10.140625" customWidth="1"/>
    <col min="7" max="7" width="10" customWidth="1"/>
    <col min="8" max="9" width="11" customWidth="1"/>
    <col min="10" max="10" width="8.5703125" customWidth="1"/>
    <col min="11" max="12" width="10" customWidth="1"/>
  </cols>
  <sheetData>
    <row r="1" spans="1:14" ht="18.75">
      <c r="B1" s="261" t="s">
        <v>168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151"/>
      <c r="C2" s="6"/>
      <c r="F2" s="9" t="s">
        <v>146</v>
      </c>
      <c r="G2" s="58">
        <f>MAX(H6:H9)</f>
        <v>568.1</v>
      </c>
      <c r="H2" s="151" t="s">
        <v>136</v>
      </c>
      <c r="I2" s="151"/>
      <c r="J2" s="6"/>
      <c r="K2" s="6"/>
      <c r="L2" s="6"/>
      <c r="M2" s="6"/>
      <c r="N2" s="6"/>
    </row>
    <row r="3" spans="1:14">
      <c r="B3" s="143"/>
      <c r="C3" s="6"/>
      <c r="F3" s="9" t="s">
        <v>149</v>
      </c>
      <c r="G3" s="58">
        <f>MIN(H6:H10)</f>
        <v>385.7</v>
      </c>
      <c r="H3" s="151" t="s">
        <v>136</v>
      </c>
      <c r="I3" s="151"/>
      <c r="J3" s="6"/>
      <c r="K3" s="6"/>
      <c r="L3" s="6"/>
      <c r="M3" s="6"/>
      <c r="N3" s="6"/>
    </row>
    <row r="4" spans="1:14">
      <c r="B4" s="15"/>
      <c r="C4" s="15"/>
      <c r="D4" s="15"/>
      <c r="E4" s="15"/>
      <c r="F4" s="15"/>
      <c r="G4" s="6"/>
      <c r="H4" s="15"/>
      <c r="I4" s="15"/>
      <c r="J4" s="15"/>
      <c r="K4" s="15"/>
      <c r="L4" s="6"/>
      <c r="M4" s="6"/>
      <c r="N4" s="6"/>
    </row>
    <row r="5" spans="1:14" ht="30.75" customHeight="1">
      <c r="B5" s="64"/>
      <c r="C5" s="360" t="s">
        <v>142</v>
      </c>
      <c r="D5" s="360" t="s">
        <v>143</v>
      </c>
      <c r="E5" s="360" t="s">
        <v>144</v>
      </c>
      <c r="F5" s="360" t="s">
        <v>145</v>
      </c>
      <c r="G5" s="360" t="s">
        <v>57</v>
      </c>
      <c r="H5" s="360" t="s">
        <v>146</v>
      </c>
      <c r="I5" s="308" t="s">
        <v>41</v>
      </c>
      <c r="J5" s="308" t="s">
        <v>129</v>
      </c>
      <c r="K5" s="262"/>
      <c r="L5" s="13"/>
      <c r="M5" s="5"/>
      <c r="N5" s="6"/>
    </row>
    <row r="6" spans="1:14" ht="18">
      <c r="A6">
        <v>101</v>
      </c>
      <c r="B6" t="s">
        <v>152</v>
      </c>
      <c r="C6" s="361">
        <v>385.7</v>
      </c>
      <c r="D6" s="361">
        <v>301.5</v>
      </c>
      <c r="E6" s="361">
        <v>309</v>
      </c>
      <c r="F6" s="361"/>
      <c r="G6" s="361">
        <f>AVERAGE(C6:E6)</f>
        <v>332.06666666666666</v>
      </c>
      <c r="H6" s="362">
        <f>MAX(C6:F6)</f>
        <v>385.7</v>
      </c>
      <c r="I6" s="363">
        <f>IF((H6=$G$3),5,((H6-$G$18)/$G$17))</f>
        <v>5</v>
      </c>
      <c r="J6" s="309">
        <f>RANK(I6,$I$6:$I$13)</f>
        <v>4</v>
      </c>
      <c r="K6" s="150"/>
      <c r="L6" s="24"/>
      <c r="M6" s="17"/>
      <c r="N6" s="6"/>
    </row>
    <row r="7" spans="1:14" ht="18">
      <c r="A7">
        <v>102</v>
      </c>
      <c r="B7" t="s">
        <v>153</v>
      </c>
      <c r="C7" s="361">
        <v>387.6</v>
      </c>
      <c r="D7" s="361">
        <v>396.3</v>
      </c>
      <c r="E7" s="361">
        <v>438.7</v>
      </c>
      <c r="F7" s="361"/>
      <c r="G7" s="361">
        <f t="shared" ref="G7:G10" si="0">AVERAGE(C7:E7)</f>
        <v>407.53333333333336</v>
      </c>
      <c r="H7" s="362">
        <f>MAX(C7:F7)</f>
        <v>438.7</v>
      </c>
      <c r="I7" s="363">
        <f>IF((H7=$G$3),5,((H7-$G$18)/$G$17))</f>
        <v>29.057017543859644</v>
      </c>
      <c r="J7" s="309">
        <f t="shared" ref="J7:J13" si="1">RANK(I7,$I$6:$I$13)</f>
        <v>2</v>
      </c>
      <c r="K7" s="263"/>
      <c r="L7" s="24"/>
      <c r="M7" s="17"/>
      <c r="N7" s="6"/>
    </row>
    <row r="8" spans="1:14" ht="18">
      <c r="A8">
        <v>103</v>
      </c>
      <c r="B8" t="s">
        <v>154</v>
      </c>
      <c r="C8" s="361">
        <v>553.1</v>
      </c>
      <c r="D8" s="361">
        <v>568.1</v>
      </c>
      <c r="E8" s="361">
        <v>522</v>
      </c>
      <c r="F8" s="361"/>
      <c r="G8" s="361">
        <f t="shared" si="0"/>
        <v>547.73333333333335</v>
      </c>
      <c r="H8" s="362">
        <f>MAX(C8:F8)</f>
        <v>568.1</v>
      </c>
      <c r="I8" s="363">
        <f>IF((H8=$G$3),5,((H8-$G$18)/$G$17))</f>
        <v>100</v>
      </c>
      <c r="J8" s="309">
        <f t="shared" si="1"/>
        <v>1</v>
      </c>
      <c r="K8" s="263"/>
    </row>
    <row r="9" spans="1:14" ht="18">
      <c r="A9">
        <v>104</v>
      </c>
      <c r="B9" t="s">
        <v>155</v>
      </c>
      <c r="C9" s="360" t="s">
        <v>172</v>
      </c>
      <c r="D9" s="360" t="s">
        <v>172</v>
      </c>
      <c r="E9" s="360" t="s">
        <v>172</v>
      </c>
      <c r="F9" s="360" t="s">
        <v>172</v>
      </c>
      <c r="G9" s="360" t="s">
        <v>172</v>
      </c>
      <c r="H9" s="360" t="s">
        <v>172</v>
      </c>
      <c r="I9" s="363">
        <v>0</v>
      </c>
      <c r="J9" s="309">
        <f t="shared" si="1"/>
        <v>5</v>
      </c>
      <c r="K9" s="263"/>
    </row>
    <row r="10" spans="1:14" ht="18">
      <c r="A10">
        <v>105</v>
      </c>
      <c r="B10" t="s">
        <v>156</v>
      </c>
      <c r="C10" s="361">
        <v>391</v>
      </c>
      <c r="D10" s="361">
        <v>401</v>
      </c>
      <c r="E10" s="361">
        <v>418</v>
      </c>
      <c r="F10" s="360"/>
      <c r="G10" s="361">
        <f t="shared" si="0"/>
        <v>403.33333333333331</v>
      </c>
      <c r="H10" s="362">
        <f>MAX(C10:F10)</f>
        <v>418</v>
      </c>
      <c r="I10" s="363">
        <f>IF((H10=$G$3),5,((H10-$G$18)/$G$17))</f>
        <v>17.708333333333336</v>
      </c>
      <c r="J10" s="309">
        <f t="shared" si="1"/>
        <v>3</v>
      </c>
      <c r="K10" s="263"/>
    </row>
    <row r="11" spans="1:14" ht="18">
      <c r="A11">
        <v>111</v>
      </c>
      <c r="B11" t="s">
        <v>157</v>
      </c>
      <c r="C11" s="360" t="s">
        <v>172</v>
      </c>
      <c r="D11" s="360" t="s">
        <v>172</v>
      </c>
      <c r="E11" s="360" t="s">
        <v>172</v>
      </c>
      <c r="F11" s="360" t="s">
        <v>172</v>
      </c>
      <c r="G11" s="360" t="s">
        <v>172</v>
      </c>
      <c r="H11" s="360" t="s">
        <v>172</v>
      </c>
      <c r="I11" s="364">
        <v>0</v>
      </c>
      <c r="J11" s="309">
        <f t="shared" si="1"/>
        <v>5</v>
      </c>
      <c r="K11" s="263"/>
    </row>
    <row r="12" spans="1:14" ht="18">
      <c r="A12">
        <v>112</v>
      </c>
      <c r="B12" t="s">
        <v>158</v>
      </c>
      <c r="C12" s="360" t="s">
        <v>172</v>
      </c>
      <c r="D12" s="360" t="s">
        <v>172</v>
      </c>
      <c r="E12" s="360" t="s">
        <v>172</v>
      </c>
      <c r="F12" s="360" t="s">
        <v>172</v>
      </c>
      <c r="G12" s="360" t="s">
        <v>172</v>
      </c>
      <c r="H12" s="360" t="s">
        <v>172</v>
      </c>
      <c r="I12" s="364">
        <v>0</v>
      </c>
      <c r="J12" s="309">
        <f t="shared" si="1"/>
        <v>5</v>
      </c>
      <c r="K12" s="263"/>
    </row>
    <row r="13" spans="1:14" ht="18">
      <c r="A13">
        <v>113</v>
      </c>
      <c r="B13" t="s">
        <v>159</v>
      </c>
      <c r="C13" s="360" t="s">
        <v>172</v>
      </c>
      <c r="D13" s="360" t="s">
        <v>172</v>
      </c>
      <c r="E13" s="360" t="s">
        <v>172</v>
      </c>
      <c r="F13" s="360" t="s">
        <v>172</v>
      </c>
      <c r="G13" s="360" t="s">
        <v>172</v>
      </c>
      <c r="H13" s="360" t="s">
        <v>172</v>
      </c>
      <c r="I13" s="364">
        <v>0</v>
      </c>
      <c r="J13" s="309">
        <f t="shared" si="1"/>
        <v>5</v>
      </c>
      <c r="K13" s="263"/>
    </row>
    <row r="14" spans="1:14">
      <c r="C14" s="108"/>
    </row>
    <row r="16" spans="1:14">
      <c r="F16" s="201" t="s">
        <v>101</v>
      </c>
      <c r="G16" s="201"/>
    </row>
    <row r="17" spans="6:7">
      <c r="F17" s="201" t="s">
        <v>98</v>
      </c>
      <c r="G17" s="208">
        <f>(G2-G3)/100</f>
        <v>1.8240000000000003</v>
      </c>
    </row>
    <row r="18" spans="6:7">
      <c r="F18" s="201" t="s">
        <v>99</v>
      </c>
      <c r="G18" s="158">
        <f>G3</f>
        <v>385.7</v>
      </c>
    </row>
    <row r="20" spans="6:7">
      <c r="F20" s="201" t="s">
        <v>137</v>
      </c>
      <c r="G20">
        <v>5</v>
      </c>
    </row>
    <row r="21" spans="6:7">
      <c r="F21" s="201" t="s">
        <v>138</v>
      </c>
      <c r="G21">
        <v>100</v>
      </c>
    </row>
  </sheetData>
  <phoneticPr fontId="19" type="noConversion"/>
  <printOptions gridLines="1"/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0"/>
  <sheetViews>
    <sheetView topLeftCell="B1" zoomScaleNormal="100" zoomScalePageLayoutView="125" workbookViewId="0"/>
  </sheetViews>
  <sheetFormatPr defaultColWidth="8.85546875" defaultRowHeight="12.75"/>
  <cols>
    <col min="2" max="2" width="30.7109375" customWidth="1"/>
    <col min="3" max="3" width="8.7109375" customWidth="1"/>
    <col min="4" max="4" width="9.85546875" style="3" customWidth="1"/>
    <col min="5" max="5" width="8.28515625" customWidth="1"/>
    <col min="6" max="6" width="10.7109375" customWidth="1"/>
    <col min="7" max="7" width="10.42578125" customWidth="1"/>
    <col min="8" max="8" width="9.140625" customWidth="1"/>
    <col min="9" max="9" width="14.28515625" style="119" customWidth="1"/>
    <col min="10" max="10" width="12.140625" customWidth="1"/>
    <col min="11" max="11" width="5.42578125" style="119" customWidth="1"/>
    <col min="12" max="12" width="29.42578125" customWidth="1"/>
  </cols>
  <sheetData>
    <row r="1" spans="1:12" ht="18.75">
      <c r="B1" s="7" t="s">
        <v>169</v>
      </c>
      <c r="C1" s="7"/>
      <c r="D1" s="17"/>
      <c r="E1" s="6"/>
      <c r="F1" s="6"/>
      <c r="G1" s="6"/>
      <c r="H1" s="6"/>
      <c r="I1" s="151"/>
      <c r="J1" s="6"/>
      <c r="K1" s="151"/>
      <c r="L1" s="6"/>
    </row>
    <row r="2" spans="1:12">
      <c r="B2" s="23"/>
      <c r="C2" s="23"/>
      <c r="D2" s="44"/>
      <c r="E2" s="23"/>
      <c r="F2" s="23"/>
      <c r="G2" s="23"/>
      <c r="H2" s="23"/>
      <c r="I2" s="162"/>
      <c r="J2" s="23"/>
      <c r="K2" s="151"/>
      <c r="L2" s="6"/>
    </row>
    <row r="3" spans="1:12" s="113" customFormat="1" ht="63.75">
      <c r="B3" s="112"/>
      <c r="C3" s="34" t="s">
        <v>32</v>
      </c>
      <c r="D3" s="34" t="s">
        <v>6</v>
      </c>
      <c r="E3" s="34" t="s">
        <v>50</v>
      </c>
      <c r="F3" s="34" t="s">
        <v>42</v>
      </c>
      <c r="G3" s="34" t="s">
        <v>66</v>
      </c>
      <c r="H3" s="34" t="s">
        <v>7</v>
      </c>
      <c r="I3" s="146" t="s">
        <v>51</v>
      </c>
      <c r="J3" s="34" t="s">
        <v>52</v>
      </c>
      <c r="K3" s="31" t="s">
        <v>49</v>
      </c>
      <c r="L3" s="34" t="s">
        <v>39</v>
      </c>
    </row>
    <row r="4" spans="1:12" s="240" customFormat="1" ht="15">
      <c r="A4">
        <v>101</v>
      </c>
      <c r="B4" t="s">
        <v>152</v>
      </c>
      <c r="C4" s="185"/>
      <c r="D4" s="185"/>
      <c r="E4" s="185"/>
      <c r="F4" s="185"/>
      <c r="G4" s="185"/>
      <c r="H4" s="185"/>
      <c r="I4" s="185">
        <v>100</v>
      </c>
      <c r="J4" s="237"/>
      <c r="K4" s="238">
        <f t="shared" ref="K4:K9" si="0">SUM(C4:J4)</f>
        <v>100</v>
      </c>
      <c r="L4" s="239"/>
    </row>
    <row r="5" spans="1:12" s="240" customFormat="1" ht="15">
      <c r="A5">
        <v>102</v>
      </c>
      <c r="B5" t="s">
        <v>153</v>
      </c>
      <c r="C5" s="185"/>
      <c r="D5" s="185"/>
      <c r="E5" s="185"/>
      <c r="F5" s="185"/>
      <c r="G5" s="185"/>
      <c r="H5" s="185"/>
      <c r="I5" s="185"/>
      <c r="J5" s="185">
        <v>-20</v>
      </c>
      <c r="K5" s="238">
        <f t="shared" si="0"/>
        <v>-20</v>
      </c>
      <c r="L5" s="239" t="s">
        <v>203</v>
      </c>
    </row>
    <row r="6" spans="1:12" ht="14.25">
      <c r="A6">
        <v>103</v>
      </c>
      <c r="B6" t="s">
        <v>154</v>
      </c>
      <c r="C6" s="368"/>
      <c r="D6" s="369"/>
      <c r="E6" s="370"/>
      <c r="F6" s="370"/>
      <c r="G6" s="371"/>
      <c r="H6" s="372"/>
      <c r="I6" s="373"/>
      <c r="J6" s="374"/>
      <c r="K6" s="238">
        <f t="shared" si="0"/>
        <v>0</v>
      </c>
      <c r="L6" s="6"/>
    </row>
    <row r="7" spans="1:12" ht="14.25">
      <c r="A7">
        <v>104</v>
      </c>
      <c r="B7" t="s">
        <v>155</v>
      </c>
      <c r="C7" s="368"/>
      <c r="D7" s="369"/>
      <c r="E7" s="370"/>
      <c r="F7" s="370"/>
      <c r="G7" s="371"/>
      <c r="H7" s="375"/>
      <c r="I7" s="373"/>
      <c r="J7" s="374"/>
      <c r="K7" s="238">
        <f t="shared" si="0"/>
        <v>0</v>
      </c>
      <c r="L7" s="6"/>
    </row>
    <row r="8" spans="1:12" ht="36.950000000000003" customHeight="1">
      <c r="A8">
        <v>105</v>
      </c>
      <c r="B8" t="s">
        <v>156</v>
      </c>
      <c r="C8" s="376"/>
      <c r="D8" s="377"/>
      <c r="E8" s="378"/>
      <c r="F8" s="378"/>
      <c r="G8" s="379">
        <v>-20</v>
      </c>
      <c r="H8" s="380"/>
      <c r="I8" s="381"/>
      <c r="J8" s="382">
        <v>-50</v>
      </c>
      <c r="K8" s="238">
        <f t="shared" si="0"/>
        <v>-70</v>
      </c>
      <c r="L8" s="367" t="s">
        <v>206</v>
      </c>
    </row>
    <row r="9" spans="1:12" ht="15">
      <c r="A9">
        <v>111</v>
      </c>
      <c r="B9" t="s">
        <v>157</v>
      </c>
      <c r="C9" s="290"/>
      <c r="D9" s="291"/>
      <c r="E9" s="292"/>
      <c r="F9" s="292"/>
      <c r="G9" s="293"/>
      <c r="H9" s="294"/>
      <c r="I9" s="295"/>
      <c r="J9" s="296"/>
      <c r="K9" s="238">
        <f t="shared" si="0"/>
        <v>0</v>
      </c>
      <c r="L9" s="365"/>
    </row>
    <row r="10" spans="1:12" ht="15">
      <c r="A10">
        <v>112</v>
      </c>
      <c r="B10" t="s">
        <v>158</v>
      </c>
      <c r="C10" s="290"/>
      <c r="D10" s="291"/>
      <c r="E10" s="292"/>
      <c r="F10" s="292"/>
      <c r="G10" s="293"/>
      <c r="H10" s="294"/>
      <c r="I10" s="295"/>
      <c r="J10" s="296"/>
      <c r="K10" s="238">
        <v>0</v>
      </c>
      <c r="L10" s="366"/>
    </row>
    <row r="11" spans="1:12" ht="15">
      <c r="A11">
        <v>113</v>
      </c>
      <c r="B11" t="s">
        <v>159</v>
      </c>
      <c r="C11" s="290"/>
      <c r="D11" s="291"/>
      <c r="E11" s="292"/>
      <c r="F11" s="292"/>
      <c r="G11" s="293"/>
      <c r="H11" s="294"/>
      <c r="I11" s="295"/>
      <c r="J11" s="296"/>
      <c r="K11" s="238">
        <v>0</v>
      </c>
      <c r="L11" s="6"/>
    </row>
    <row r="12" spans="1:12">
      <c r="B12" s="21"/>
      <c r="C12" s="21"/>
      <c r="D12" s="180"/>
      <c r="E12" s="41"/>
      <c r="F12" s="41"/>
      <c r="H12" s="44"/>
      <c r="I12" s="160"/>
      <c r="J12" s="383" t="s">
        <v>207</v>
      </c>
      <c r="K12" s="151"/>
      <c r="L12" s="6"/>
    </row>
    <row r="13" spans="1:12" ht="15">
      <c r="B13" s="21"/>
      <c r="C13" s="21"/>
      <c r="D13" s="180"/>
      <c r="E13" s="41"/>
      <c r="F13" s="41"/>
      <c r="G13" s="35"/>
      <c r="H13" s="44"/>
      <c r="I13" s="160"/>
      <c r="J13" s="26"/>
      <c r="K13" s="151"/>
      <c r="L13" s="6"/>
    </row>
    <row r="14" spans="1:12" ht="15">
      <c r="B14" s="21"/>
      <c r="C14" s="21"/>
      <c r="D14" s="180"/>
      <c r="E14" s="41"/>
      <c r="F14" s="41"/>
      <c r="G14" s="35"/>
      <c r="H14" s="44"/>
      <c r="I14" s="160"/>
      <c r="J14" s="26"/>
      <c r="K14" s="151"/>
      <c r="L14" s="6"/>
    </row>
    <row r="15" spans="1:12">
      <c r="B15" s="21"/>
      <c r="C15" s="21"/>
      <c r="D15" s="180"/>
      <c r="E15" s="41"/>
      <c r="F15" s="41"/>
      <c r="G15" s="35"/>
      <c r="H15" s="44"/>
      <c r="I15" s="160"/>
      <c r="J15" s="23"/>
      <c r="K15" s="151"/>
      <c r="L15" s="6"/>
    </row>
    <row r="16" spans="1:12" ht="15">
      <c r="B16" s="21"/>
      <c r="C16" s="21"/>
      <c r="D16" s="180"/>
      <c r="E16" s="41"/>
      <c r="F16" s="41"/>
      <c r="G16" s="35"/>
      <c r="H16" s="44"/>
      <c r="I16" s="160"/>
      <c r="J16" s="26"/>
      <c r="K16" s="151"/>
      <c r="L16" s="6"/>
    </row>
    <row r="17" spans="2:10">
      <c r="B17" s="21"/>
      <c r="C17" s="21"/>
      <c r="D17" s="181"/>
      <c r="E17" s="42"/>
      <c r="F17" s="42"/>
      <c r="G17" s="35"/>
      <c r="H17" s="44"/>
      <c r="I17" s="160"/>
      <c r="J17" s="1"/>
    </row>
    <row r="18" spans="2:10">
      <c r="B18" s="1"/>
      <c r="C18" s="1"/>
      <c r="D18" s="52"/>
      <c r="E18" s="1"/>
      <c r="F18" s="1"/>
      <c r="G18" s="23"/>
      <c r="H18" s="1"/>
      <c r="I18" s="163"/>
      <c r="J18" s="1"/>
    </row>
    <row r="19" spans="2:10">
      <c r="B19" s="1"/>
      <c r="C19" s="1"/>
      <c r="D19" s="52"/>
      <c r="E19" s="1"/>
      <c r="F19" s="1"/>
      <c r="G19" s="1"/>
      <c r="H19" s="1"/>
      <c r="I19" s="163"/>
      <c r="J19" s="1"/>
    </row>
    <row r="20" spans="2:10">
      <c r="B20" s="1"/>
      <c r="C20" s="1"/>
      <c r="D20" s="52"/>
      <c r="E20" s="1"/>
      <c r="F20" s="1"/>
      <c r="G20" s="1"/>
      <c r="H20" s="1"/>
      <c r="I20" s="163"/>
      <c r="J20" s="1"/>
    </row>
  </sheetData>
  <phoneticPr fontId="19" type="noConversion"/>
  <printOptions gridLines="1"/>
  <pageMargins left="0.75" right="0.75" top="1" bottom="1" header="0.5" footer="0.5"/>
  <pageSetup scale="63" orientation="landscape" horizontalDpi="4294967294" verticalDpi="20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8"/>
  <sheetViews>
    <sheetView zoomScaleNormal="100" workbookViewId="0"/>
  </sheetViews>
  <sheetFormatPr defaultColWidth="8.85546875" defaultRowHeight="12.75"/>
  <cols>
    <col min="2" max="2" width="50.85546875" customWidth="1"/>
    <col min="3" max="6" width="10.42578125" customWidth="1"/>
    <col min="8" max="8" width="10.42578125" customWidth="1"/>
    <col min="10" max="10" width="10.140625" customWidth="1"/>
  </cols>
  <sheetData>
    <row r="1" spans="1:22" ht="18.75">
      <c r="B1" s="39" t="s">
        <v>170</v>
      </c>
      <c r="C1" s="27"/>
      <c r="D1" s="27"/>
      <c r="E1" s="27"/>
      <c r="F1" s="27" t="s">
        <v>47</v>
      </c>
      <c r="G1" s="28">
        <f>MAX(F4:F9)</f>
        <v>798</v>
      </c>
      <c r="H1" s="27" t="s">
        <v>48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>
      <c r="B2" s="144" t="s">
        <v>86</v>
      </c>
      <c r="C2" s="27"/>
      <c r="D2" s="27"/>
      <c r="E2" s="27"/>
      <c r="F2" s="27" t="s">
        <v>46</v>
      </c>
      <c r="G2" s="28">
        <f>MIN(F4:F110)</f>
        <v>703</v>
      </c>
      <c r="H2" s="27" t="s">
        <v>48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>
      <c r="C3" s="103" t="s">
        <v>43</v>
      </c>
      <c r="D3" s="103" t="s">
        <v>44</v>
      </c>
      <c r="E3" s="103" t="s">
        <v>45</v>
      </c>
      <c r="F3" s="38" t="s">
        <v>20</v>
      </c>
      <c r="H3" s="34"/>
      <c r="I3" s="2" t="s">
        <v>23</v>
      </c>
    </row>
    <row r="4" spans="1:22" ht="15">
      <c r="A4">
        <v>101</v>
      </c>
      <c r="B4" t="s">
        <v>152</v>
      </c>
      <c r="C4" s="289">
        <v>205</v>
      </c>
      <c r="D4" s="298">
        <v>185</v>
      </c>
      <c r="E4" s="298">
        <v>332</v>
      </c>
      <c r="F4" s="152">
        <f t="shared" ref="F4:F8" si="0">SUM(C4:E4)</f>
        <v>722</v>
      </c>
      <c r="G4" s="110"/>
      <c r="H4" s="16"/>
      <c r="I4" s="16">
        <f t="shared" ref="I4:I8" si="1">RANK($F4,$F$4:$F$9)</f>
        <v>2</v>
      </c>
    </row>
    <row r="5" spans="1:22" ht="15">
      <c r="A5">
        <v>102</v>
      </c>
      <c r="B5" t="s">
        <v>153</v>
      </c>
      <c r="C5" s="299">
        <v>185</v>
      </c>
      <c r="D5" s="300">
        <v>171</v>
      </c>
      <c r="E5" s="300">
        <v>347</v>
      </c>
      <c r="F5" s="152">
        <f t="shared" si="0"/>
        <v>703</v>
      </c>
      <c r="G5" s="110"/>
      <c r="H5" s="16"/>
      <c r="I5" s="16">
        <f t="shared" si="1"/>
        <v>4</v>
      </c>
    </row>
    <row r="6" spans="1:22" ht="15">
      <c r="A6">
        <v>103</v>
      </c>
      <c r="B6" t="s">
        <v>154</v>
      </c>
      <c r="C6" s="299">
        <v>203</v>
      </c>
      <c r="D6" s="300">
        <v>177</v>
      </c>
      <c r="E6" s="300">
        <v>418</v>
      </c>
      <c r="F6" s="152">
        <f t="shared" si="0"/>
        <v>798</v>
      </c>
      <c r="G6" s="110"/>
      <c r="H6" s="16"/>
      <c r="I6" s="16">
        <f t="shared" si="1"/>
        <v>1</v>
      </c>
    </row>
    <row r="7" spans="1:22" ht="15">
      <c r="A7">
        <v>104</v>
      </c>
      <c r="B7" t="s">
        <v>155</v>
      </c>
      <c r="C7" s="299" t="s">
        <v>172</v>
      </c>
      <c r="D7" s="299" t="s">
        <v>172</v>
      </c>
      <c r="E7" s="299" t="s">
        <v>172</v>
      </c>
      <c r="F7" s="299" t="s">
        <v>172</v>
      </c>
      <c r="G7" s="110"/>
      <c r="H7" s="16"/>
      <c r="I7" s="16" t="s">
        <v>37</v>
      </c>
    </row>
    <row r="8" spans="1:22" ht="15">
      <c r="A8">
        <v>105</v>
      </c>
      <c r="B8" t="s">
        <v>156</v>
      </c>
      <c r="C8" s="299">
        <v>171</v>
      </c>
      <c r="D8" s="300">
        <v>156</v>
      </c>
      <c r="E8" s="300">
        <v>390</v>
      </c>
      <c r="F8" s="152">
        <f t="shared" si="0"/>
        <v>717</v>
      </c>
      <c r="G8" s="110"/>
      <c r="H8" s="16"/>
      <c r="I8" s="16">
        <f t="shared" si="1"/>
        <v>3</v>
      </c>
    </row>
    <row r="9" spans="1:22" ht="15">
      <c r="A9">
        <v>111</v>
      </c>
      <c r="B9" t="s">
        <v>157</v>
      </c>
      <c r="C9" s="289" t="s">
        <v>172</v>
      </c>
      <c r="D9" s="289" t="s">
        <v>172</v>
      </c>
      <c r="E9" s="289" t="s">
        <v>172</v>
      </c>
      <c r="F9" s="152" t="s">
        <v>172</v>
      </c>
      <c r="G9" s="110"/>
      <c r="H9" s="16"/>
      <c r="I9" s="16" t="s">
        <v>37</v>
      </c>
      <c r="J9" s="245"/>
    </row>
    <row r="10" spans="1:22" ht="15">
      <c r="A10">
        <v>112</v>
      </c>
      <c r="B10" t="s">
        <v>158</v>
      </c>
      <c r="C10" s="289" t="s">
        <v>172</v>
      </c>
      <c r="D10" s="289" t="s">
        <v>172</v>
      </c>
      <c r="E10" s="289" t="s">
        <v>172</v>
      </c>
      <c r="F10" s="152" t="s">
        <v>172</v>
      </c>
      <c r="G10" s="110"/>
      <c r="H10" s="16"/>
      <c r="I10" s="16" t="s">
        <v>37</v>
      </c>
      <c r="J10" s="245"/>
    </row>
    <row r="11" spans="1:22" ht="15">
      <c r="A11">
        <v>113</v>
      </c>
      <c r="B11" t="s">
        <v>159</v>
      </c>
      <c r="C11" s="289" t="s">
        <v>172</v>
      </c>
      <c r="D11" s="289" t="s">
        <v>172</v>
      </c>
      <c r="E11" s="289" t="s">
        <v>172</v>
      </c>
      <c r="F11" s="152" t="s">
        <v>172</v>
      </c>
      <c r="G11" s="110"/>
      <c r="H11" s="16"/>
      <c r="I11" s="16" t="s">
        <v>37</v>
      </c>
      <c r="J11" s="245"/>
    </row>
    <row r="12" spans="1:22">
      <c r="F12" s="53"/>
    </row>
    <row r="13" spans="1:22">
      <c r="F13" s="53"/>
    </row>
    <row r="14" spans="1:22">
      <c r="F14" s="53"/>
    </row>
    <row r="15" spans="1:22">
      <c r="F15" s="53"/>
    </row>
    <row r="16" spans="1:22">
      <c r="F16" s="53"/>
    </row>
    <row r="17" spans="6:6">
      <c r="F17" s="53"/>
    </row>
    <row r="18" spans="6:6">
      <c r="F18" s="53"/>
    </row>
  </sheetData>
  <phoneticPr fontId="19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35"/>
  <sheetViews>
    <sheetView zoomScaleNormal="100" zoomScalePageLayoutView="85" workbookViewId="0">
      <pane ySplit="3" topLeftCell="A4" activePane="bottomLeft" state="frozen"/>
      <selection pane="bottomLeft"/>
    </sheetView>
  </sheetViews>
  <sheetFormatPr defaultColWidth="9.140625" defaultRowHeight="12.75"/>
  <cols>
    <col min="1" max="1" width="14.5703125" style="117" customWidth="1"/>
    <col min="2" max="2" width="14.42578125" style="56" customWidth="1"/>
    <col min="3" max="4" width="15.5703125" style="117" customWidth="1"/>
    <col min="5" max="6" width="15.5703125" style="128" customWidth="1"/>
    <col min="7" max="10" width="15.5703125" style="56" customWidth="1"/>
    <col min="11" max="16384" width="9.140625" style="56"/>
  </cols>
  <sheetData>
    <row r="1" spans="1:11" s="265" customFormat="1" ht="18.75">
      <c r="A1" s="215" t="s">
        <v>160</v>
      </c>
      <c r="B1" s="150"/>
      <c r="C1" s="202"/>
      <c r="D1" s="202"/>
      <c r="E1" s="150"/>
      <c r="F1" s="150"/>
      <c r="G1" s="150"/>
      <c r="H1" s="150"/>
      <c r="I1" s="150"/>
      <c r="J1" s="150"/>
      <c r="K1" s="150"/>
    </row>
    <row r="2" spans="1:11" s="265" customFormat="1" ht="18.75">
      <c r="A2" s="215"/>
      <c r="B2" s="150"/>
      <c r="C2">
        <v>101</v>
      </c>
      <c r="D2">
        <v>102</v>
      </c>
      <c r="E2">
        <v>103</v>
      </c>
      <c r="F2">
        <v>104</v>
      </c>
      <c r="G2">
        <v>105</v>
      </c>
      <c r="H2">
        <v>111</v>
      </c>
      <c r="I2">
        <v>112</v>
      </c>
      <c r="J2">
        <v>113</v>
      </c>
      <c r="K2" s="150"/>
    </row>
    <row r="3" spans="1:11" ht="38.25">
      <c r="A3" s="267" t="s">
        <v>131</v>
      </c>
      <c r="B3" s="267" t="s">
        <v>132</v>
      </c>
      <c r="C3" s="113" t="s">
        <v>152</v>
      </c>
      <c r="D3" s="113" t="s">
        <v>153</v>
      </c>
      <c r="E3" s="113" t="s">
        <v>154</v>
      </c>
      <c r="F3" s="113" t="s">
        <v>155</v>
      </c>
      <c r="G3" s="113" t="s">
        <v>156</v>
      </c>
      <c r="H3" s="113" t="s">
        <v>157</v>
      </c>
      <c r="I3" s="113" t="s">
        <v>158</v>
      </c>
      <c r="J3" s="113" t="s">
        <v>159</v>
      </c>
      <c r="K3" s="273" t="s">
        <v>124</v>
      </c>
    </row>
    <row r="4" spans="1:11" s="223" customFormat="1" ht="15">
      <c r="A4" s="270">
        <v>1</v>
      </c>
      <c r="B4" s="271"/>
      <c r="C4" s="251">
        <v>76</v>
      </c>
      <c r="D4" s="251"/>
      <c r="E4" s="251"/>
      <c r="F4" s="251"/>
      <c r="G4" s="251"/>
      <c r="H4" s="251"/>
      <c r="I4" s="243"/>
      <c r="J4" s="243"/>
      <c r="K4" s="264">
        <f>COUNTA(C4:J4)</f>
        <v>1</v>
      </c>
    </row>
    <row r="5" spans="1:11" ht="15">
      <c r="A5" s="270">
        <f>A4+1</f>
        <v>2</v>
      </c>
      <c r="B5" s="224"/>
      <c r="C5" s="243"/>
      <c r="D5" s="243"/>
      <c r="E5" s="243"/>
      <c r="F5" s="243"/>
      <c r="G5" s="243">
        <v>92</v>
      </c>
      <c r="H5" s="243">
        <v>50</v>
      </c>
      <c r="I5" s="243">
        <v>68</v>
      </c>
      <c r="J5" s="243">
        <v>75</v>
      </c>
      <c r="K5" s="264">
        <f t="shared" ref="K5:K28" si="0">COUNTA(C5:J5)</f>
        <v>4</v>
      </c>
    </row>
    <row r="6" spans="1:11" ht="15">
      <c r="A6" s="270">
        <f t="shared" ref="A6:A28" si="1">A5+1</f>
        <v>3</v>
      </c>
      <c r="B6" s="224"/>
      <c r="C6" s="243">
        <v>68</v>
      </c>
      <c r="D6" s="243">
        <v>81</v>
      </c>
      <c r="E6" s="243">
        <v>62</v>
      </c>
      <c r="F6" s="243">
        <v>61</v>
      </c>
      <c r="G6" s="243">
        <v>87</v>
      </c>
      <c r="H6" s="243">
        <v>66</v>
      </c>
      <c r="I6" s="243">
        <v>68</v>
      </c>
      <c r="J6" s="243">
        <v>53</v>
      </c>
      <c r="K6" s="264">
        <f t="shared" si="0"/>
        <v>8</v>
      </c>
    </row>
    <row r="7" spans="1:11" ht="15">
      <c r="A7" s="270">
        <f t="shared" si="1"/>
        <v>4</v>
      </c>
      <c r="B7" s="224"/>
      <c r="C7" s="243">
        <v>53</v>
      </c>
      <c r="D7" s="243">
        <v>87</v>
      </c>
      <c r="E7" s="243">
        <v>47</v>
      </c>
      <c r="F7" s="243">
        <v>30</v>
      </c>
      <c r="G7" s="243"/>
      <c r="H7" s="243"/>
      <c r="I7" s="243"/>
      <c r="J7" s="243"/>
      <c r="K7" s="264">
        <f t="shared" si="0"/>
        <v>4</v>
      </c>
    </row>
    <row r="8" spans="1:11" ht="15">
      <c r="A8" s="270">
        <f t="shared" si="1"/>
        <v>5</v>
      </c>
      <c r="B8" s="224"/>
      <c r="C8" s="243">
        <v>56</v>
      </c>
      <c r="D8" s="243">
        <v>94</v>
      </c>
      <c r="E8" s="243">
        <v>72</v>
      </c>
      <c r="F8" s="243">
        <v>27</v>
      </c>
      <c r="G8" s="243">
        <v>73</v>
      </c>
      <c r="H8" s="243">
        <v>31</v>
      </c>
      <c r="I8" s="243">
        <v>33</v>
      </c>
      <c r="J8" s="243">
        <v>27</v>
      </c>
      <c r="K8" s="264">
        <f t="shared" si="0"/>
        <v>8</v>
      </c>
    </row>
    <row r="9" spans="1:11" s="119" customFormat="1" ht="15">
      <c r="A9" s="270">
        <f t="shared" si="1"/>
        <v>6</v>
      </c>
      <c r="B9" s="224"/>
      <c r="C9" s="243"/>
      <c r="D9" s="243"/>
      <c r="E9" s="243"/>
      <c r="F9" s="243">
        <v>47</v>
      </c>
      <c r="G9" s="243">
        <v>74</v>
      </c>
      <c r="H9" s="243">
        <v>51</v>
      </c>
      <c r="I9" s="243">
        <v>66</v>
      </c>
      <c r="J9" s="243"/>
      <c r="K9" s="264">
        <f t="shared" si="0"/>
        <v>4</v>
      </c>
    </row>
    <row r="10" spans="1:11" ht="15">
      <c r="A10" s="270">
        <f t="shared" si="1"/>
        <v>7</v>
      </c>
      <c r="B10" s="269"/>
      <c r="C10" s="243"/>
      <c r="D10" s="243"/>
      <c r="E10" s="243"/>
      <c r="F10" s="243"/>
      <c r="G10" s="243">
        <v>68</v>
      </c>
      <c r="H10" s="243">
        <v>50</v>
      </c>
      <c r="I10" s="243">
        <v>42</v>
      </c>
      <c r="J10" s="243">
        <v>30</v>
      </c>
      <c r="K10" s="264">
        <f t="shared" si="0"/>
        <v>4</v>
      </c>
    </row>
    <row r="11" spans="1:11" ht="15">
      <c r="A11" s="270">
        <f t="shared" si="1"/>
        <v>8</v>
      </c>
      <c r="B11" s="224"/>
      <c r="C11" s="243"/>
      <c r="D11" s="243"/>
      <c r="E11" s="243"/>
      <c r="F11" s="243"/>
      <c r="G11" s="243">
        <v>95</v>
      </c>
      <c r="H11" s="243">
        <v>60</v>
      </c>
      <c r="I11" s="243">
        <v>73</v>
      </c>
      <c r="J11" s="243">
        <v>78</v>
      </c>
      <c r="K11" s="264">
        <f t="shared" si="0"/>
        <v>4</v>
      </c>
    </row>
    <row r="12" spans="1:11" ht="15">
      <c r="A12" s="270">
        <f t="shared" si="1"/>
        <v>9</v>
      </c>
      <c r="B12" s="224"/>
      <c r="C12" s="243"/>
      <c r="D12" s="243"/>
      <c r="E12" s="243">
        <v>38</v>
      </c>
      <c r="F12" s="243"/>
      <c r="G12" s="243"/>
      <c r="H12" s="243"/>
      <c r="I12" s="243"/>
      <c r="J12" s="243"/>
      <c r="K12" s="264">
        <f t="shared" si="0"/>
        <v>1</v>
      </c>
    </row>
    <row r="13" spans="1:11" ht="15">
      <c r="A13" s="270">
        <f t="shared" si="1"/>
        <v>10</v>
      </c>
      <c r="B13" s="224"/>
      <c r="C13" s="243">
        <v>63</v>
      </c>
      <c r="D13" s="243">
        <v>43</v>
      </c>
      <c r="E13" s="243">
        <v>56</v>
      </c>
      <c r="F13" s="243">
        <v>20</v>
      </c>
      <c r="G13" s="243"/>
      <c r="H13" s="243"/>
      <c r="I13" s="243"/>
      <c r="J13" s="243"/>
      <c r="K13" s="264">
        <f t="shared" si="0"/>
        <v>4</v>
      </c>
    </row>
    <row r="14" spans="1:11" ht="15">
      <c r="A14" s="270">
        <f t="shared" si="1"/>
        <v>11</v>
      </c>
      <c r="B14" s="224"/>
      <c r="C14" s="243"/>
      <c r="D14" s="243"/>
      <c r="E14" s="243"/>
      <c r="F14" s="243"/>
      <c r="G14" s="243">
        <v>81</v>
      </c>
      <c r="H14" s="243">
        <v>63</v>
      </c>
      <c r="I14" s="243">
        <v>63</v>
      </c>
      <c r="J14" s="243">
        <v>70</v>
      </c>
      <c r="K14" s="264">
        <f t="shared" si="0"/>
        <v>4</v>
      </c>
    </row>
    <row r="15" spans="1:11" ht="15">
      <c r="A15" s="270">
        <f t="shared" si="1"/>
        <v>12</v>
      </c>
      <c r="B15" s="224"/>
      <c r="C15" s="243">
        <v>60</v>
      </c>
      <c r="D15" s="243">
        <v>66</v>
      </c>
      <c r="E15" s="243">
        <v>56</v>
      </c>
      <c r="F15" s="243"/>
      <c r="G15" s="243">
        <v>77</v>
      </c>
      <c r="H15" s="243"/>
      <c r="I15" s="243"/>
      <c r="J15" s="243"/>
      <c r="K15" s="264">
        <f t="shared" si="0"/>
        <v>4</v>
      </c>
    </row>
    <row r="16" spans="1:11" ht="15">
      <c r="A16" s="270">
        <f t="shared" si="1"/>
        <v>13</v>
      </c>
      <c r="B16" s="224"/>
      <c r="C16" s="243">
        <v>84</v>
      </c>
      <c r="D16" s="243"/>
      <c r="E16" s="243"/>
      <c r="F16" s="243"/>
      <c r="G16" s="243"/>
      <c r="H16" s="243"/>
      <c r="I16" s="243"/>
      <c r="J16" s="243"/>
      <c r="K16" s="264">
        <f t="shared" si="0"/>
        <v>1</v>
      </c>
    </row>
    <row r="17" spans="1:11" ht="15">
      <c r="A17" s="270">
        <f t="shared" si="1"/>
        <v>14</v>
      </c>
      <c r="B17" s="224"/>
      <c r="C17" s="243">
        <v>54</v>
      </c>
      <c r="D17" s="243"/>
      <c r="E17" s="243"/>
      <c r="F17" s="243"/>
      <c r="G17" s="243"/>
      <c r="H17" s="243"/>
      <c r="I17" s="243"/>
      <c r="J17" s="243"/>
      <c r="K17" s="264">
        <f t="shared" si="0"/>
        <v>1</v>
      </c>
    </row>
    <row r="18" spans="1:11" ht="15">
      <c r="A18" s="270">
        <f t="shared" si="1"/>
        <v>15</v>
      </c>
      <c r="B18" s="225"/>
      <c r="C18" s="243">
        <v>58</v>
      </c>
      <c r="D18" s="243">
        <v>88</v>
      </c>
      <c r="E18" s="243">
        <v>59</v>
      </c>
      <c r="F18" s="243">
        <v>60</v>
      </c>
      <c r="G18" s="243"/>
      <c r="H18" s="243"/>
      <c r="I18" s="243"/>
      <c r="J18" s="243"/>
      <c r="K18" s="264">
        <f t="shared" si="0"/>
        <v>4</v>
      </c>
    </row>
    <row r="19" spans="1:11" ht="15">
      <c r="A19" s="270">
        <f t="shared" si="1"/>
        <v>16</v>
      </c>
      <c r="B19" s="225"/>
      <c r="C19" s="243">
        <v>63</v>
      </c>
      <c r="D19" s="243"/>
      <c r="E19" s="243"/>
      <c r="F19" s="243">
        <v>18</v>
      </c>
      <c r="G19" s="243"/>
      <c r="H19" s="243"/>
      <c r="I19" s="243"/>
      <c r="J19" s="243"/>
      <c r="K19" s="264">
        <f t="shared" si="0"/>
        <v>2</v>
      </c>
    </row>
    <row r="20" spans="1:11" ht="15">
      <c r="A20" s="270">
        <f t="shared" si="1"/>
        <v>17</v>
      </c>
      <c r="B20" s="224"/>
      <c r="C20" s="243">
        <v>82</v>
      </c>
      <c r="D20" s="243"/>
      <c r="E20" s="243"/>
      <c r="F20" s="243"/>
      <c r="G20" s="243"/>
      <c r="H20" s="243"/>
      <c r="I20" s="243"/>
      <c r="J20" s="243"/>
      <c r="K20" s="264">
        <f t="shared" si="0"/>
        <v>1</v>
      </c>
    </row>
    <row r="21" spans="1:11" ht="15">
      <c r="A21" s="270">
        <f t="shared" si="1"/>
        <v>18</v>
      </c>
      <c r="B21" s="224"/>
      <c r="C21" s="243"/>
      <c r="D21" s="243"/>
      <c r="E21" s="243"/>
      <c r="F21" s="243"/>
      <c r="G21" s="243"/>
      <c r="H21" s="243"/>
      <c r="I21" s="243"/>
      <c r="J21" s="243">
        <v>47</v>
      </c>
      <c r="K21" s="264">
        <f t="shared" si="0"/>
        <v>1</v>
      </c>
    </row>
    <row r="22" spans="1:11" ht="15">
      <c r="A22" s="270">
        <f t="shared" si="1"/>
        <v>19</v>
      </c>
      <c r="B22" s="297"/>
      <c r="C22" s="243"/>
      <c r="D22" s="243">
        <v>80</v>
      </c>
      <c r="E22" s="243"/>
      <c r="F22" s="243"/>
      <c r="G22" s="243"/>
      <c r="H22" s="243"/>
      <c r="I22" s="243"/>
      <c r="J22" s="243">
        <v>27</v>
      </c>
      <c r="K22" s="264">
        <f t="shared" si="0"/>
        <v>2</v>
      </c>
    </row>
    <row r="23" spans="1:11" ht="15">
      <c r="A23" s="270">
        <f t="shared" si="1"/>
        <v>20</v>
      </c>
      <c r="B23" s="224"/>
      <c r="C23" s="243"/>
      <c r="D23" s="243"/>
      <c r="E23" s="243"/>
      <c r="F23" s="243"/>
      <c r="G23" s="243"/>
      <c r="H23" s="243"/>
      <c r="I23" s="243">
        <v>62</v>
      </c>
      <c r="J23" s="243">
        <v>57</v>
      </c>
      <c r="K23" s="264">
        <f t="shared" si="0"/>
        <v>2</v>
      </c>
    </row>
    <row r="24" spans="1:11" ht="15">
      <c r="A24" s="270">
        <f t="shared" si="1"/>
        <v>21</v>
      </c>
      <c r="B24" s="225"/>
      <c r="C24" s="243">
        <v>76</v>
      </c>
      <c r="D24" s="243"/>
      <c r="E24" s="243"/>
      <c r="F24" s="243"/>
      <c r="G24" s="243"/>
      <c r="H24" s="243"/>
      <c r="I24" s="243"/>
      <c r="J24" s="243"/>
      <c r="K24" s="264">
        <f t="shared" si="0"/>
        <v>1</v>
      </c>
    </row>
    <row r="25" spans="1:11" ht="15">
      <c r="A25" s="270">
        <f t="shared" si="1"/>
        <v>22</v>
      </c>
      <c r="B25" s="224"/>
      <c r="C25" s="243"/>
      <c r="D25" s="243"/>
      <c r="E25" s="243"/>
      <c r="F25" s="243"/>
      <c r="G25" s="243">
        <v>96</v>
      </c>
      <c r="H25" s="243">
        <v>53</v>
      </c>
      <c r="I25" s="243">
        <v>63</v>
      </c>
      <c r="J25" s="243">
        <v>58</v>
      </c>
      <c r="K25" s="264">
        <f t="shared" si="0"/>
        <v>4</v>
      </c>
    </row>
    <row r="26" spans="1:11" ht="15">
      <c r="A26" s="270">
        <f t="shared" si="1"/>
        <v>23</v>
      </c>
      <c r="B26" s="224"/>
      <c r="C26" s="243"/>
      <c r="D26" s="243">
        <v>64</v>
      </c>
      <c r="E26" s="243">
        <v>58</v>
      </c>
      <c r="F26" s="243">
        <v>29</v>
      </c>
      <c r="G26" s="243">
        <v>85</v>
      </c>
      <c r="H26" s="243"/>
      <c r="I26" s="243"/>
      <c r="J26" s="243"/>
      <c r="K26" s="264">
        <f t="shared" si="0"/>
        <v>4</v>
      </c>
    </row>
    <row r="27" spans="1:11" ht="15">
      <c r="A27" s="270">
        <f t="shared" si="1"/>
        <v>24</v>
      </c>
      <c r="B27" s="225"/>
      <c r="C27" s="243"/>
      <c r="D27" s="243">
        <v>66</v>
      </c>
      <c r="E27" s="243">
        <v>33</v>
      </c>
      <c r="F27" s="243">
        <v>30</v>
      </c>
      <c r="G27" s="243">
        <v>92</v>
      </c>
      <c r="H27" s="243"/>
      <c r="I27" s="243"/>
      <c r="J27" s="243"/>
      <c r="K27" s="264">
        <f t="shared" si="0"/>
        <v>4</v>
      </c>
    </row>
    <row r="28" spans="1:11" ht="15">
      <c r="A28" s="270">
        <f t="shared" si="1"/>
        <v>25</v>
      </c>
      <c r="B28" s="225"/>
      <c r="C28" s="243"/>
      <c r="D28" s="243"/>
      <c r="E28" s="243"/>
      <c r="F28" s="243"/>
      <c r="G28" s="243"/>
      <c r="H28" s="243"/>
      <c r="I28" s="243"/>
      <c r="J28" s="243">
        <v>35</v>
      </c>
      <c r="K28" s="264">
        <f t="shared" si="0"/>
        <v>1</v>
      </c>
    </row>
    <row r="29" spans="1:11">
      <c r="A29" s="202"/>
      <c r="B29" s="201"/>
      <c r="C29" s="202"/>
      <c r="D29" s="202"/>
      <c r="E29" s="202"/>
      <c r="F29" s="202"/>
      <c r="G29" s="202"/>
      <c r="H29" s="202"/>
      <c r="I29" s="202"/>
      <c r="J29" s="202"/>
      <c r="K29" s="201"/>
    </row>
    <row r="30" spans="1:11">
      <c r="A30" s="202" t="s">
        <v>57</v>
      </c>
      <c r="B30" s="201"/>
      <c r="C30" s="155">
        <f>AVERAGE(C4:C28)</f>
        <v>66.083333333333329</v>
      </c>
      <c r="D30" s="155">
        <f t="shared" ref="D30:J30" si="2">AVERAGE(D4:D28)</f>
        <v>74.333333333333329</v>
      </c>
      <c r="E30" s="155">
        <f t="shared" si="2"/>
        <v>53.444444444444443</v>
      </c>
      <c r="F30" s="155">
        <f t="shared" si="2"/>
        <v>35.777777777777779</v>
      </c>
      <c r="G30" s="155">
        <f t="shared" si="2"/>
        <v>83.63636363636364</v>
      </c>
      <c r="H30" s="155">
        <f t="shared" si="2"/>
        <v>53</v>
      </c>
      <c r="I30" s="155">
        <f t="shared" si="2"/>
        <v>59.777777777777779</v>
      </c>
      <c r="J30" s="155">
        <f t="shared" si="2"/>
        <v>50.636363636363633</v>
      </c>
      <c r="K30" s="201"/>
    </row>
    <row r="31" spans="1:11">
      <c r="A31" s="202" t="s">
        <v>41</v>
      </c>
      <c r="B31" s="201"/>
      <c r="C31" s="155">
        <f t="shared" ref="C31:J31" si="3">IF(C30&lt;5, 5,C30)</f>
        <v>66.083333333333329</v>
      </c>
      <c r="D31" s="155">
        <f t="shared" si="3"/>
        <v>74.333333333333329</v>
      </c>
      <c r="E31" s="155">
        <f t="shared" si="3"/>
        <v>53.444444444444443</v>
      </c>
      <c r="F31" s="155">
        <f t="shared" si="3"/>
        <v>35.777777777777779</v>
      </c>
      <c r="G31" s="155">
        <f t="shared" si="3"/>
        <v>83.63636363636364</v>
      </c>
      <c r="H31" s="155">
        <f t="shared" si="3"/>
        <v>53</v>
      </c>
      <c r="I31" s="155">
        <f t="shared" si="3"/>
        <v>59.777777777777779</v>
      </c>
      <c r="J31" s="155">
        <f t="shared" si="3"/>
        <v>50.636363636363633</v>
      </c>
      <c r="K31" s="201"/>
    </row>
    <row r="32" spans="1:11">
      <c r="A32" s="202"/>
      <c r="B32" s="201"/>
      <c r="C32" s="202"/>
      <c r="D32" s="202"/>
      <c r="E32" s="202"/>
      <c r="F32" s="202"/>
      <c r="G32" s="202"/>
      <c r="H32" s="202"/>
      <c r="I32" s="202"/>
      <c r="J32" s="202"/>
      <c r="K32" s="201"/>
    </row>
    <row r="33" spans="1:11">
      <c r="A33" s="202"/>
      <c r="B33" s="201"/>
      <c r="C33" s="202"/>
      <c r="D33" s="202"/>
      <c r="E33" s="202"/>
      <c r="F33" s="202"/>
      <c r="G33" s="202"/>
      <c r="H33" s="202"/>
      <c r="I33" s="202"/>
      <c r="J33" s="202"/>
      <c r="K33" s="201"/>
    </row>
    <row r="34" spans="1:11">
      <c r="A34" s="202"/>
      <c r="B34" s="202" t="s">
        <v>129</v>
      </c>
      <c r="C34" s="202">
        <f t="shared" ref="C34:J34" si="4">RANK(C31,$C$31:$J$31)</f>
        <v>3</v>
      </c>
      <c r="D34" s="202">
        <f t="shared" si="4"/>
        <v>2</v>
      </c>
      <c r="E34" s="202">
        <f t="shared" si="4"/>
        <v>5</v>
      </c>
      <c r="F34" s="202">
        <f t="shared" si="4"/>
        <v>8</v>
      </c>
      <c r="G34" s="202">
        <f t="shared" si="4"/>
        <v>1</v>
      </c>
      <c r="H34" s="202">
        <f t="shared" si="4"/>
        <v>6</v>
      </c>
      <c r="I34" s="202">
        <f t="shared" si="4"/>
        <v>4</v>
      </c>
      <c r="J34" s="202">
        <f t="shared" si="4"/>
        <v>7</v>
      </c>
      <c r="K34" s="201"/>
    </row>
    <row r="35" spans="1:11">
      <c r="A35" s="202"/>
      <c r="B35" s="201"/>
      <c r="C35" s="202"/>
      <c r="D35" s="202"/>
      <c r="E35" s="272"/>
      <c r="F35" s="272"/>
      <c r="G35" s="201"/>
      <c r="H35" s="201"/>
      <c r="I35" s="201"/>
      <c r="J35" s="201"/>
      <c r="K35" s="201"/>
    </row>
  </sheetData>
  <phoneticPr fontId="19" type="noConversion"/>
  <printOptions gridLines="1"/>
  <pageMargins left="0.75" right="0.75" top="1" bottom="1" header="0.5" footer="0.5"/>
  <pageSetup scale="4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16"/>
  <sheetViews>
    <sheetView zoomScaleNormal="100" workbookViewId="0"/>
  </sheetViews>
  <sheetFormatPr defaultColWidth="8.85546875" defaultRowHeight="12.75"/>
  <cols>
    <col min="2" max="2" width="50.85546875" customWidth="1"/>
  </cols>
  <sheetData>
    <row r="1" spans="1:4" ht="18.75">
      <c r="B1" s="7" t="s">
        <v>161</v>
      </c>
      <c r="C1" s="6"/>
      <c r="D1" s="6"/>
    </row>
    <row r="2" spans="1:4">
      <c r="B2" s="6"/>
      <c r="C2" s="6"/>
      <c r="D2" s="6"/>
    </row>
    <row r="3" spans="1:4" ht="15">
      <c r="B3" s="274" t="s">
        <v>108</v>
      </c>
      <c r="C3" s="6"/>
      <c r="D3" s="6"/>
    </row>
    <row r="4" spans="1:4">
      <c r="B4" s="23"/>
      <c r="C4" s="22" t="s">
        <v>8</v>
      </c>
      <c r="D4" s="19"/>
    </row>
    <row r="5" spans="1:4" ht="18.75">
      <c r="A5">
        <v>101</v>
      </c>
      <c r="B5" t="s">
        <v>152</v>
      </c>
      <c r="C5" s="303">
        <v>50</v>
      </c>
      <c r="D5" s="288"/>
    </row>
    <row r="6" spans="1:4" ht="18.75">
      <c r="A6">
        <v>102</v>
      </c>
      <c r="B6" t="s">
        <v>153</v>
      </c>
      <c r="C6" s="303">
        <v>50</v>
      </c>
      <c r="D6" s="288"/>
    </row>
    <row r="7" spans="1:4" ht="18.75">
      <c r="A7">
        <v>103</v>
      </c>
      <c r="B7" t="s">
        <v>154</v>
      </c>
      <c r="C7" s="303">
        <v>50</v>
      </c>
      <c r="D7" s="288"/>
    </row>
    <row r="8" spans="1:4" ht="18.75">
      <c r="A8">
        <v>104</v>
      </c>
      <c r="B8" t="s">
        <v>155</v>
      </c>
      <c r="C8" s="303">
        <v>50</v>
      </c>
      <c r="D8" s="288"/>
    </row>
    <row r="9" spans="1:4" ht="18.75">
      <c r="A9">
        <v>105</v>
      </c>
      <c r="B9" t="s">
        <v>156</v>
      </c>
      <c r="C9" s="303">
        <v>50</v>
      </c>
      <c r="D9" s="288"/>
    </row>
    <row r="10" spans="1:4" ht="18.75">
      <c r="A10">
        <v>111</v>
      </c>
      <c r="B10" t="s">
        <v>157</v>
      </c>
      <c r="C10" s="303">
        <v>50</v>
      </c>
      <c r="D10" s="1"/>
    </row>
    <row r="11" spans="1:4" ht="18.75">
      <c r="A11">
        <v>112</v>
      </c>
      <c r="B11" t="s">
        <v>158</v>
      </c>
      <c r="C11" s="303">
        <v>50</v>
      </c>
      <c r="D11" s="1"/>
    </row>
    <row r="12" spans="1:4" ht="18.75">
      <c r="A12">
        <v>113</v>
      </c>
      <c r="B12" t="s">
        <v>159</v>
      </c>
      <c r="C12" s="303">
        <v>50</v>
      </c>
      <c r="D12" s="1"/>
    </row>
    <row r="13" spans="1:4">
      <c r="B13" s="21"/>
    </row>
    <row r="14" spans="1:4">
      <c r="B14" s="21"/>
    </row>
    <row r="15" spans="1:4">
      <c r="B15" s="21"/>
    </row>
    <row r="16" spans="1:4">
      <c r="B16" s="21"/>
    </row>
  </sheetData>
  <phoneticPr fontId="19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29"/>
  <sheetViews>
    <sheetView zoomScaleNormal="100" workbookViewId="0"/>
  </sheetViews>
  <sheetFormatPr defaultColWidth="8.85546875" defaultRowHeight="12.75"/>
  <cols>
    <col min="2" max="2" width="49.85546875" customWidth="1"/>
    <col min="3" max="3" width="11.42578125" bestFit="1" customWidth="1"/>
    <col min="4" max="4" width="12.42578125" customWidth="1"/>
    <col min="5" max="5" width="9.140625" hidden="1" customWidth="1"/>
    <col min="6" max="6" width="8.85546875" style="144"/>
    <col min="8" max="8" width="16.42578125" hidden="1" customWidth="1"/>
    <col min="9" max="9" width="11.42578125" customWidth="1"/>
    <col min="10" max="10" width="13.42578125" customWidth="1"/>
    <col min="11" max="11" width="13.140625" customWidth="1"/>
  </cols>
  <sheetData>
    <row r="1" spans="1:20" ht="18.75">
      <c r="B1" s="7" t="s">
        <v>162</v>
      </c>
      <c r="C1" s="6"/>
      <c r="D1" s="6"/>
      <c r="E1" s="6"/>
    </row>
    <row r="2" spans="1:20" s="56" customFormat="1">
      <c r="B2" s="151"/>
      <c r="C2" s="151"/>
      <c r="D2" s="151"/>
      <c r="E2" s="151"/>
      <c r="F2" s="144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0" s="56" customFormat="1">
      <c r="B3" s="151"/>
      <c r="C3" s="275"/>
      <c r="D3" s="276"/>
      <c r="E3" s="151"/>
      <c r="F3" s="144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s="56" customFormat="1">
      <c r="B4" s="151"/>
      <c r="C4" s="275"/>
      <c r="D4" s="276"/>
      <c r="E4" s="151"/>
      <c r="F4" s="144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s="56" customFormat="1" ht="18">
      <c r="B5" s="23"/>
      <c r="C5" s="23"/>
      <c r="D5" s="23"/>
      <c r="E5" s="151"/>
      <c r="F5" s="144"/>
      <c r="G5" s="201"/>
      <c r="H5" s="201"/>
      <c r="I5" s="205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51">
      <c r="B6" s="105" t="s">
        <v>85</v>
      </c>
      <c r="C6" s="105"/>
      <c r="D6" s="105" t="s">
        <v>56</v>
      </c>
      <c r="E6" s="105"/>
      <c r="F6" s="168" t="s">
        <v>103</v>
      </c>
      <c r="G6" s="168"/>
      <c r="H6" s="168"/>
      <c r="I6" s="168" t="s">
        <v>82</v>
      </c>
      <c r="J6" s="168" t="s">
        <v>83</v>
      </c>
      <c r="K6" s="168" t="s">
        <v>84</v>
      </c>
      <c r="L6" s="168"/>
      <c r="M6" s="168" t="s">
        <v>106</v>
      </c>
      <c r="N6" s="168" t="s">
        <v>23</v>
      </c>
    </row>
    <row r="7" spans="1:20">
      <c r="A7">
        <v>101</v>
      </c>
      <c r="B7" t="s">
        <v>152</v>
      </c>
      <c r="D7" s="307">
        <v>13800.99</v>
      </c>
      <c r="E7" s="164"/>
      <c r="F7" s="208">
        <f t="shared" ref="F7:F14" si="0">-($C$20*D7)+$C$21</f>
        <v>19.999999999999996</v>
      </c>
      <c r="G7" s="45"/>
      <c r="I7" s="277">
        <v>6</v>
      </c>
      <c r="J7" s="277">
        <v>7</v>
      </c>
      <c r="K7" s="277">
        <v>7</v>
      </c>
      <c r="L7" s="45"/>
      <c r="M7" s="159">
        <f t="shared" ref="M7:M14" si="1">IF(SUM(F7:K7)&lt;2.5,2.5,SUM(F7:K7))</f>
        <v>40</v>
      </c>
      <c r="N7" s="157">
        <f>RANK(M7,$M$7:$M$14)</f>
        <v>3</v>
      </c>
    </row>
    <row r="8" spans="1:20">
      <c r="A8">
        <v>102</v>
      </c>
      <c r="B8" t="s">
        <v>153</v>
      </c>
      <c r="D8" s="307">
        <v>15195.81</v>
      </c>
      <c r="E8" s="165"/>
      <c r="F8" s="208">
        <f t="shared" si="0"/>
        <v>17.608991352688431</v>
      </c>
      <c r="G8" s="45"/>
      <c r="I8" s="277">
        <v>5</v>
      </c>
      <c r="J8" s="277">
        <v>6</v>
      </c>
      <c r="K8" s="277">
        <v>6</v>
      </c>
      <c r="L8" s="45"/>
      <c r="M8" s="159">
        <f t="shared" si="1"/>
        <v>34.608991352688435</v>
      </c>
      <c r="N8" s="157">
        <f t="shared" ref="N8:N14" si="2">RANK(M8,$M$7:$M$14)</f>
        <v>5</v>
      </c>
    </row>
    <row r="9" spans="1:20">
      <c r="A9">
        <v>103</v>
      </c>
      <c r="B9" t="s">
        <v>154</v>
      </c>
      <c r="D9" s="307">
        <v>15078.68</v>
      </c>
      <c r="E9" s="165"/>
      <c r="F9" s="208">
        <f t="shared" si="0"/>
        <v>17.809776287561462</v>
      </c>
      <c r="G9" s="45"/>
      <c r="I9" s="277">
        <v>9</v>
      </c>
      <c r="J9" s="277">
        <v>7</v>
      </c>
      <c r="K9" s="277">
        <v>8</v>
      </c>
      <c r="L9" s="45"/>
      <c r="M9" s="159">
        <f t="shared" si="1"/>
        <v>41.809776287561462</v>
      </c>
      <c r="N9" s="157">
        <f t="shared" si="2"/>
        <v>2</v>
      </c>
    </row>
    <row r="10" spans="1:20">
      <c r="A10">
        <v>104</v>
      </c>
      <c r="B10" t="s">
        <v>155</v>
      </c>
      <c r="D10" s="307">
        <v>25468.2</v>
      </c>
      <c r="E10" s="165"/>
      <c r="F10" s="208">
        <f t="shared" si="0"/>
        <v>0</v>
      </c>
      <c r="G10" s="45"/>
      <c r="I10" s="277">
        <v>2</v>
      </c>
      <c r="J10" s="277">
        <v>2</v>
      </c>
      <c r="K10" s="277">
        <v>2</v>
      </c>
      <c r="L10" s="45"/>
      <c r="M10" s="159">
        <f t="shared" si="1"/>
        <v>6</v>
      </c>
      <c r="N10" s="157">
        <f t="shared" si="2"/>
        <v>8</v>
      </c>
    </row>
    <row r="11" spans="1:20">
      <c r="A11">
        <v>105</v>
      </c>
      <c r="B11" t="s">
        <v>156</v>
      </c>
      <c r="D11" s="307">
        <v>16359.56</v>
      </c>
      <c r="E11" s="165"/>
      <c r="F11" s="208">
        <f t="shared" si="0"/>
        <v>15.614084258361679</v>
      </c>
      <c r="G11" s="45"/>
      <c r="I11" s="277">
        <v>2</v>
      </c>
      <c r="J11" s="277">
        <v>2</v>
      </c>
      <c r="K11" s="277">
        <v>1</v>
      </c>
      <c r="L11" s="45"/>
      <c r="M11" s="159">
        <f t="shared" si="1"/>
        <v>20.614084258361679</v>
      </c>
      <c r="N11" s="157">
        <f t="shared" si="2"/>
        <v>7</v>
      </c>
    </row>
    <row r="12" spans="1:20">
      <c r="A12">
        <v>111</v>
      </c>
      <c r="B12" t="s">
        <v>157</v>
      </c>
      <c r="D12" s="307">
        <v>14417.73</v>
      </c>
      <c r="E12" s="165"/>
      <c r="F12" s="208">
        <f t="shared" si="0"/>
        <v>18.942780664786181</v>
      </c>
      <c r="G12" s="45"/>
      <c r="I12" s="277">
        <v>8</v>
      </c>
      <c r="J12" s="277">
        <v>6</v>
      </c>
      <c r="K12" s="277">
        <v>7</v>
      </c>
      <c r="L12" s="45"/>
      <c r="M12" s="159">
        <f t="shared" si="1"/>
        <v>39.942780664786184</v>
      </c>
      <c r="N12" s="157">
        <f t="shared" si="2"/>
        <v>4</v>
      </c>
    </row>
    <row r="13" spans="1:20">
      <c r="A13">
        <v>112</v>
      </c>
      <c r="B13" t="s">
        <v>158</v>
      </c>
      <c r="D13" s="307">
        <v>14877.51</v>
      </c>
      <c r="E13" s="165"/>
      <c r="F13" s="208">
        <f t="shared" si="0"/>
        <v>18.154623084696336</v>
      </c>
      <c r="G13" s="45"/>
      <c r="I13" s="277">
        <v>10</v>
      </c>
      <c r="J13" s="277">
        <v>10</v>
      </c>
      <c r="K13" s="277">
        <v>8</v>
      </c>
      <c r="L13" s="45"/>
      <c r="M13" s="159">
        <f t="shared" si="1"/>
        <v>46.15462308469634</v>
      </c>
      <c r="N13" s="157">
        <f t="shared" si="2"/>
        <v>1</v>
      </c>
    </row>
    <row r="14" spans="1:20">
      <c r="A14">
        <v>113</v>
      </c>
      <c r="B14" t="s">
        <v>159</v>
      </c>
      <c r="D14" s="307">
        <v>16983.52</v>
      </c>
      <c r="E14" s="165"/>
      <c r="F14" s="208">
        <f t="shared" si="0"/>
        <v>14.5444883566851</v>
      </c>
      <c r="G14" s="45"/>
      <c r="I14" s="277">
        <v>6</v>
      </c>
      <c r="J14" s="277">
        <v>6</v>
      </c>
      <c r="K14" s="277">
        <v>6</v>
      </c>
      <c r="L14" s="45"/>
      <c r="M14" s="159">
        <f t="shared" si="1"/>
        <v>32.5444883566851</v>
      </c>
      <c r="N14" s="157">
        <f t="shared" si="2"/>
        <v>6</v>
      </c>
    </row>
    <row r="15" spans="1:20" ht="18.75">
      <c r="B15" s="266"/>
      <c r="D15" s="167"/>
      <c r="E15" s="166"/>
      <c r="F15" s="208"/>
      <c r="G15" s="45"/>
      <c r="I15" s="229"/>
      <c r="J15" s="301"/>
      <c r="K15" s="302"/>
      <c r="L15" s="45"/>
      <c r="M15" s="159"/>
      <c r="N15" s="157"/>
    </row>
    <row r="16" spans="1:20" ht="15">
      <c r="B16" s="183"/>
      <c r="C16" s="49"/>
      <c r="D16" s="202"/>
      <c r="E16" s="6"/>
      <c r="N16" s="206"/>
    </row>
    <row r="17" spans="2:13" ht="15">
      <c r="B17" s="209" t="s">
        <v>90</v>
      </c>
      <c r="C17" s="49"/>
      <c r="D17" s="160"/>
      <c r="E17" s="6"/>
      <c r="M17" s="201" t="s">
        <v>107</v>
      </c>
    </row>
    <row r="18" spans="2:13">
      <c r="B18" s="104" t="s">
        <v>91</v>
      </c>
      <c r="C18" s="35"/>
      <c r="D18" s="44"/>
      <c r="E18" s="6"/>
    </row>
    <row r="19" spans="2:13">
      <c r="B19" s="104" t="s">
        <v>92</v>
      </c>
      <c r="C19" s="35"/>
      <c r="D19" s="44"/>
      <c r="E19" s="6"/>
    </row>
    <row r="20" spans="2:13">
      <c r="B20" s="104" t="s">
        <v>93</v>
      </c>
      <c r="C20" s="191">
        <f>20/(C23-C22)</f>
        <v>1.7142058812689579E-3</v>
      </c>
      <c r="D20" s="44"/>
      <c r="E20" s="6"/>
    </row>
    <row r="21" spans="2:13">
      <c r="B21" s="104" t="s">
        <v>94</v>
      </c>
      <c r="C21" s="35">
        <f>20+(C20*C22)</f>
        <v>43.657738225334072</v>
      </c>
      <c r="D21" s="44"/>
      <c r="E21" s="6"/>
    </row>
    <row r="22" spans="2:13">
      <c r="B22" s="104" t="s">
        <v>60</v>
      </c>
      <c r="C22" s="189">
        <f>MIN(D7:D15)</f>
        <v>13800.99</v>
      </c>
      <c r="D22" s="44"/>
      <c r="E22" s="6"/>
    </row>
    <row r="23" spans="2:13">
      <c r="B23" s="41" t="s">
        <v>95</v>
      </c>
      <c r="C23" s="190">
        <f>MAX(D7:D15)</f>
        <v>25468.2</v>
      </c>
      <c r="D23" s="44"/>
      <c r="E23" s="6"/>
    </row>
    <row r="24" spans="2:13">
      <c r="B24" s="41" t="s">
        <v>96</v>
      </c>
      <c r="C24" s="188">
        <v>20</v>
      </c>
      <c r="D24" s="44"/>
      <c r="E24" s="6"/>
    </row>
    <row r="25" spans="2:13">
      <c r="B25" s="41"/>
      <c r="C25" s="35"/>
      <c r="D25" s="44"/>
      <c r="E25" s="6"/>
    </row>
    <row r="26" spans="2:13">
      <c r="B26" s="207" t="s">
        <v>105</v>
      </c>
      <c r="C26" s="35"/>
      <c r="D26" s="44"/>
      <c r="E26" s="6"/>
      <c r="I26" s="201" t="s">
        <v>104</v>
      </c>
    </row>
    <row r="27" spans="2:13">
      <c r="B27" s="42"/>
      <c r="C27" s="35"/>
      <c r="D27" s="44"/>
    </row>
    <row r="28" spans="2:13">
      <c r="B28" s="1"/>
      <c r="C28" s="23"/>
      <c r="D28" s="1"/>
    </row>
    <row r="29" spans="2:13">
      <c r="B29" s="1"/>
      <c r="C29" s="1"/>
      <c r="D29" s="1"/>
    </row>
  </sheetData>
  <phoneticPr fontId="19" type="noConversion"/>
  <printOptions gridLines="1"/>
  <pageMargins left="0.75" right="0.75" top="1" bottom="1" header="0.5" footer="0.5"/>
  <pageSetup scale="67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18"/>
  <sheetViews>
    <sheetView topLeftCell="A7" zoomScaleNormal="100" workbookViewId="0"/>
  </sheetViews>
  <sheetFormatPr defaultColWidth="8.85546875" defaultRowHeight="12.75"/>
  <cols>
    <col min="2" max="2" width="39.5703125" customWidth="1"/>
    <col min="3" max="3" width="15.42578125" customWidth="1"/>
    <col min="4" max="4" width="13.85546875" style="230" bestFit="1" customWidth="1"/>
    <col min="5" max="5" width="10.140625" customWidth="1"/>
    <col min="6" max="6" width="12.42578125" customWidth="1"/>
    <col min="8" max="8" width="10.85546875" style="36" customWidth="1"/>
    <col min="9" max="9" width="8.85546875" style="3"/>
    <col min="10" max="10" width="41.85546875" customWidth="1"/>
  </cols>
  <sheetData>
    <row r="1" spans="1:17" ht="45">
      <c r="B1" s="7" t="s">
        <v>163</v>
      </c>
      <c r="F1" s="135"/>
      <c r="G1" s="135"/>
    </row>
    <row r="2" spans="1:17" ht="18.75">
      <c r="B2" s="7"/>
      <c r="C2" s="7"/>
      <c r="D2" s="248"/>
      <c r="E2" s="6" t="s">
        <v>0</v>
      </c>
      <c r="F2" s="101">
        <f>MAX(D10:D17)</f>
        <v>1.66</v>
      </c>
      <c r="G2" s="6" t="s">
        <v>10</v>
      </c>
      <c r="H2" s="246" t="s">
        <v>24</v>
      </c>
      <c r="J2" s="54"/>
    </row>
    <row r="3" spans="1:17">
      <c r="B3" s="6"/>
      <c r="C3" s="6"/>
      <c r="D3" s="58"/>
      <c r="E3" s="6" t="s">
        <v>1</v>
      </c>
      <c r="F3" s="101">
        <f>MIN(D10:D17)</f>
        <v>1.39</v>
      </c>
      <c r="G3" s="6" t="s">
        <v>10</v>
      </c>
      <c r="H3" s="246" t="s">
        <v>25</v>
      </c>
      <c r="J3" s="54"/>
    </row>
    <row r="4" spans="1:17">
      <c r="B4" s="10"/>
      <c r="C4" s="10"/>
      <c r="D4" s="249"/>
      <c r="E4" s="6" t="s">
        <v>12</v>
      </c>
      <c r="F4" s="156">
        <v>42.2</v>
      </c>
      <c r="G4" s="6" t="s">
        <v>11</v>
      </c>
      <c r="H4" s="246" t="s">
        <v>26</v>
      </c>
      <c r="J4" s="54"/>
    </row>
    <row r="5" spans="1:17">
      <c r="B5" s="10"/>
      <c r="C5" s="10"/>
      <c r="D5" s="249"/>
      <c r="E5" s="6" t="s">
        <v>97</v>
      </c>
      <c r="F5" s="312"/>
      <c r="G5" s="6"/>
      <c r="H5" s="246"/>
      <c r="J5" s="54"/>
    </row>
    <row r="6" spans="1:17">
      <c r="B6" s="10"/>
      <c r="C6" s="10"/>
      <c r="D6" s="249"/>
      <c r="E6" s="6" t="s">
        <v>98</v>
      </c>
      <c r="F6" s="327">
        <f>100/(F2-F3)</f>
        <v>370.37037037037032</v>
      </c>
      <c r="G6" s="6"/>
      <c r="H6" s="246"/>
      <c r="J6" s="54"/>
    </row>
    <row r="7" spans="1:17">
      <c r="B7" s="10"/>
      <c r="C7" s="10"/>
      <c r="D7" s="249"/>
      <c r="E7" s="6" t="s">
        <v>99</v>
      </c>
      <c r="F7" s="327">
        <f>(F6*F2)</f>
        <v>614.81481481481467</v>
      </c>
      <c r="G7" s="6"/>
      <c r="H7" s="246"/>
      <c r="J7" s="54"/>
    </row>
    <row r="8" spans="1:17">
      <c r="B8" s="12"/>
      <c r="C8" s="12"/>
      <c r="D8" s="101"/>
      <c r="E8" s="12"/>
      <c r="F8" s="143"/>
      <c r="G8" s="6"/>
      <c r="I8" s="17"/>
      <c r="J8" s="55"/>
      <c r="K8" s="55"/>
    </row>
    <row r="9" spans="1:17" ht="38.25">
      <c r="B9" s="11"/>
      <c r="C9" s="34" t="s">
        <v>171</v>
      </c>
      <c r="D9" s="250" t="s">
        <v>40</v>
      </c>
      <c r="E9" s="34" t="s">
        <v>9</v>
      </c>
      <c r="F9" s="31" t="s">
        <v>102</v>
      </c>
      <c r="G9" s="31" t="s">
        <v>23</v>
      </c>
      <c r="H9" s="114" t="s">
        <v>55</v>
      </c>
      <c r="I9" s="2" t="s">
        <v>109</v>
      </c>
      <c r="J9" s="34"/>
      <c r="K9" s="31"/>
      <c r="M9" s="113" t="s">
        <v>37</v>
      </c>
    </row>
    <row r="10" spans="1:17" ht="15">
      <c r="A10">
        <v>101</v>
      </c>
      <c r="B10" t="s">
        <v>152</v>
      </c>
      <c r="C10" s="228" t="s">
        <v>147</v>
      </c>
      <c r="D10" s="352">
        <v>1.39</v>
      </c>
      <c r="E10" s="153">
        <f>$F$4/D10</f>
        <v>30.35971223021583</v>
      </c>
      <c r="F10" s="16">
        <f>100-($F$6*D10)+$F$7</f>
        <v>200</v>
      </c>
      <c r="G10" s="202">
        <f>RANK($F10,$F$10:$F$17)</f>
        <v>1</v>
      </c>
      <c r="H10" s="227">
        <v>42.2</v>
      </c>
      <c r="I10" s="278" t="s">
        <v>205</v>
      </c>
      <c r="J10" s="247"/>
      <c r="K10" s="6"/>
      <c r="M10" s="45" t="s">
        <v>37</v>
      </c>
      <c r="N10" s="56"/>
      <c r="O10" s="56"/>
      <c r="P10" s="56"/>
      <c r="Q10" s="56"/>
    </row>
    <row r="11" spans="1:17" ht="15">
      <c r="A11">
        <v>102</v>
      </c>
      <c r="B11" t="s">
        <v>153</v>
      </c>
      <c r="C11" s="228" t="s">
        <v>147</v>
      </c>
      <c r="D11" s="352">
        <v>1.39</v>
      </c>
      <c r="E11" s="153">
        <f t="shared" ref="E11:E14" si="0">$F$4/D11</f>
        <v>30.35971223021583</v>
      </c>
      <c r="F11" s="16">
        <f>100-($F$6*D11)+$F$7</f>
        <v>200</v>
      </c>
      <c r="G11" s="202">
        <f>RANK($F11,$F$10:$F$15)</f>
        <v>1</v>
      </c>
      <c r="H11" s="227">
        <v>42.2</v>
      </c>
      <c r="I11" s="278" t="s">
        <v>205</v>
      </c>
      <c r="J11" s="247"/>
      <c r="K11" s="6"/>
      <c r="M11" s="45"/>
      <c r="N11" s="56"/>
      <c r="O11" s="56"/>
      <c r="P11" s="56"/>
      <c r="Q11" s="56"/>
    </row>
    <row r="12" spans="1:17">
      <c r="A12">
        <v>103</v>
      </c>
      <c r="B12" t="s">
        <v>154</v>
      </c>
      <c r="C12" s="228" t="s">
        <v>147</v>
      </c>
      <c r="D12" s="310" t="s">
        <v>141</v>
      </c>
      <c r="E12" s="153" t="s">
        <v>37</v>
      </c>
      <c r="F12" s="16" t="s">
        <v>37</v>
      </c>
      <c r="G12" s="202" t="s">
        <v>37</v>
      </c>
      <c r="H12" s="227">
        <v>30.2</v>
      </c>
      <c r="I12" s="350"/>
    </row>
    <row r="13" spans="1:17">
      <c r="A13">
        <v>104</v>
      </c>
      <c r="B13" t="s">
        <v>155</v>
      </c>
      <c r="C13" s="228" t="s">
        <v>147</v>
      </c>
      <c r="D13" s="311" t="s">
        <v>172</v>
      </c>
      <c r="E13" s="153" t="s">
        <v>37</v>
      </c>
      <c r="F13" s="16"/>
      <c r="G13" s="202" t="s">
        <v>37</v>
      </c>
      <c r="H13" s="227" t="s">
        <v>37</v>
      </c>
    </row>
    <row r="14" spans="1:17">
      <c r="A14">
        <v>105</v>
      </c>
      <c r="B14" t="s">
        <v>156</v>
      </c>
      <c r="C14" s="228" t="s">
        <v>147</v>
      </c>
      <c r="D14" s="311">
        <v>1.66</v>
      </c>
      <c r="E14" s="153">
        <f t="shared" si="0"/>
        <v>25.421686746987955</v>
      </c>
      <c r="F14" s="16">
        <f t="shared" ref="F14" si="1">100-($F$6*D14)+$F$7</f>
        <v>100</v>
      </c>
      <c r="G14" s="202">
        <f t="shared" ref="G14" si="2">RANK($F14,$F$10:$F$15)</f>
        <v>3</v>
      </c>
      <c r="H14" s="227">
        <v>42.2</v>
      </c>
    </row>
    <row r="15" spans="1:17">
      <c r="A15">
        <v>111</v>
      </c>
      <c r="B15" t="s">
        <v>157</v>
      </c>
      <c r="C15" s="228" t="s">
        <v>147</v>
      </c>
      <c r="D15" s="311" t="s">
        <v>172</v>
      </c>
      <c r="E15" s="153"/>
      <c r="F15" s="16"/>
      <c r="G15" s="202"/>
      <c r="H15" s="227"/>
    </row>
    <row r="16" spans="1:17">
      <c r="A16">
        <v>112</v>
      </c>
      <c r="B16" t="s">
        <v>158</v>
      </c>
      <c r="C16" s="228" t="s">
        <v>147</v>
      </c>
      <c r="D16" s="311" t="s">
        <v>172</v>
      </c>
    </row>
    <row r="17" spans="1:4">
      <c r="A17">
        <v>113</v>
      </c>
      <c r="B17" t="s">
        <v>159</v>
      </c>
      <c r="C17" s="228" t="s">
        <v>147</v>
      </c>
      <c r="D17" s="311" t="s">
        <v>172</v>
      </c>
    </row>
    <row r="18" spans="1:4">
      <c r="C18" s="228" t="s">
        <v>147</v>
      </c>
      <c r="D18" s="311" t="s">
        <v>172</v>
      </c>
    </row>
  </sheetData>
  <phoneticPr fontId="19" type="noConversion"/>
  <printOptions gridLines="1"/>
  <pageMargins left="0.75" right="0.75" top="1" bottom="1" header="0.5" footer="0.5"/>
  <pageSetup scale="63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45"/>
  <sheetViews>
    <sheetView zoomScaleNormal="100" workbookViewId="0"/>
  </sheetViews>
  <sheetFormatPr defaultColWidth="8.85546875" defaultRowHeight="12.75"/>
  <cols>
    <col min="2" max="2" width="54" customWidth="1"/>
    <col min="3" max="3" width="11" customWidth="1"/>
    <col min="4" max="4" width="21.42578125" style="56" customWidth="1"/>
    <col min="5" max="5" width="20" customWidth="1"/>
    <col min="6" max="6" width="16.85546875" customWidth="1"/>
    <col min="7" max="7" width="16.85546875" style="144" customWidth="1"/>
    <col min="8" max="8" width="16.85546875" customWidth="1"/>
    <col min="9" max="9" width="11.42578125" customWidth="1"/>
    <col min="10" max="10" width="12.42578125" customWidth="1"/>
    <col min="11" max="11" width="10.42578125" customWidth="1"/>
    <col min="12" max="12" width="13.5703125" customWidth="1"/>
    <col min="13" max="13" width="13.42578125" customWidth="1"/>
    <col min="14" max="14" width="12.42578125" customWidth="1"/>
    <col min="15" max="15" width="14.42578125" customWidth="1"/>
    <col min="16" max="16" width="12.5703125" customWidth="1"/>
    <col min="17" max="17" width="12.42578125" customWidth="1"/>
    <col min="18" max="18" width="11" customWidth="1"/>
  </cols>
  <sheetData>
    <row r="1" spans="1:17" ht="18.75">
      <c r="B1" s="7" t="s">
        <v>164</v>
      </c>
      <c r="C1" s="111"/>
      <c r="D1" s="151"/>
      <c r="E1" s="6"/>
      <c r="F1" s="18"/>
      <c r="G1" s="255" t="s">
        <v>100</v>
      </c>
      <c r="H1" s="155"/>
      <c r="I1" s="9"/>
      <c r="J1" s="6"/>
      <c r="K1" s="6"/>
      <c r="L1" s="6"/>
      <c r="M1" s="6"/>
      <c r="N1" s="6"/>
      <c r="O1" s="6"/>
      <c r="P1" s="6"/>
      <c r="Q1" s="6"/>
    </row>
    <row r="2" spans="1:17" s="56" customFormat="1">
      <c r="B2" s="151"/>
      <c r="C2" s="121"/>
      <c r="D2" s="16"/>
      <c r="E2" s="9"/>
      <c r="F2" s="18"/>
      <c r="G2" s="255" t="s">
        <v>87</v>
      </c>
      <c r="H2" s="155"/>
      <c r="I2" s="275"/>
      <c r="J2" s="33"/>
      <c r="K2" s="33"/>
      <c r="L2" s="33"/>
      <c r="M2" s="33"/>
      <c r="N2" s="33"/>
      <c r="O2" s="33"/>
      <c r="P2" s="33"/>
      <c r="Q2" s="33"/>
    </row>
    <row r="3" spans="1:17">
      <c r="B3" s="10" t="s">
        <v>133</v>
      </c>
      <c r="C3" s="252"/>
      <c r="D3" s="252" t="s">
        <v>119</v>
      </c>
      <c r="E3" s="47"/>
      <c r="F3" s="2" t="s">
        <v>29</v>
      </c>
      <c r="G3" s="2" t="s">
        <v>58</v>
      </c>
      <c r="H3" s="2" t="s">
        <v>59</v>
      </c>
      <c r="I3" s="12"/>
      <c r="J3" s="6"/>
      <c r="K3" s="6"/>
      <c r="L3" s="6"/>
      <c r="M3" s="6"/>
      <c r="N3" s="6"/>
      <c r="O3" s="6"/>
      <c r="P3" s="6"/>
      <c r="Q3" s="6"/>
    </row>
    <row r="4" spans="1:17">
      <c r="B4" s="6"/>
      <c r="C4" s="253" t="s">
        <v>134</v>
      </c>
      <c r="D4" s="2" t="s">
        <v>41</v>
      </c>
      <c r="E4" s="22"/>
      <c r="F4" s="313" t="s">
        <v>61</v>
      </c>
      <c r="G4" s="2" t="s">
        <v>8</v>
      </c>
      <c r="H4" s="347" t="s">
        <v>41</v>
      </c>
      <c r="I4" s="22" t="s">
        <v>23</v>
      </c>
      <c r="J4" s="22"/>
      <c r="K4" s="19"/>
      <c r="L4" s="19"/>
      <c r="M4" s="5"/>
      <c r="N4" s="5"/>
      <c r="O4" s="5"/>
      <c r="P4" s="5"/>
      <c r="Q4" s="2"/>
    </row>
    <row r="5" spans="1:17" s="332" customFormat="1" ht="15">
      <c r="A5" s="332">
        <v>101</v>
      </c>
      <c r="B5" s="332" t="s">
        <v>152</v>
      </c>
      <c r="C5" s="333">
        <v>71</v>
      </c>
      <c r="D5" s="334">
        <f>10^(($C$14-C5)/10)*150</f>
        <v>150</v>
      </c>
      <c r="E5" s="335"/>
      <c r="F5" s="341">
        <v>2</v>
      </c>
      <c r="G5" s="345">
        <f>-($F$15*F5)+$F$16</f>
        <v>100</v>
      </c>
      <c r="H5" s="343">
        <f>+D5+G5</f>
        <v>250</v>
      </c>
      <c r="I5" s="336">
        <f>RANK(H5, $H$5:$H$10)</f>
        <v>1</v>
      </c>
      <c r="J5" s="336"/>
      <c r="K5" s="355"/>
      <c r="L5" s="335"/>
      <c r="M5" s="355"/>
      <c r="N5" s="355"/>
      <c r="O5" s="356"/>
    </row>
    <row r="6" spans="1:17" s="332" customFormat="1" ht="15">
      <c r="A6" s="332">
        <v>102</v>
      </c>
      <c r="B6" s="332" t="s">
        <v>153</v>
      </c>
      <c r="C6" s="333">
        <v>71</v>
      </c>
      <c r="D6" s="334">
        <f t="shared" ref="D6" si="0">10^(($C$14-C6)/10)*150</f>
        <v>150</v>
      </c>
      <c r="E6" s="335"/>
      <c r="F6" s="341">
        <v>3</v>
      </c>
      <c r="G6" s="345">
        <f t="shared" ref="G6:G9" si="1">-($F$15*F6)+$F$16</f>
        <v>50</v>
      </c>
      <c r="H6" s="343">
        <f>+D6+G6</f>
        <v>200</v>
      </c>
      <c r="I6" s="336">
        <f>RANK(H6, $H$5:$H$10)</f>
        <v>2</v>
      </c>
      <c r="J6" s="336"/>
      <c r="K6" s="355"/>
      <c r="L6" s="335"/>
      <c r="M6" s="355"/>
      <c r="N6" s="355"/>
      <c r="O6" s="356"/>
    </row>
    <row r="7" spans="1:17" s="332" customFormat="1" ht="15">
      <c r="A7" s="332">
        <v>103</v>
      </c>
      <c r="B7" s="332" t="s">
        <v>154</v>
      </c>
      <c r="C7" s="333">
        <v>74</v>
      </c>
      <c r="D7" s="334">
        <v>7.5</v>
      </c>
      <c r="E7" s="335"/>
      <c r="F7" s="341">
        <v>4</v>
      </c>
      <c r="G7" s="345">
        <f t="shared" si="1"/>
        <v>0</v>
      </c>
      <c r="H7" s="343">
        <f>+D7+G7</f>
        <v>7.5</v>
      </c>
      <c r="I7" s="336">
        <f>RANK(H7, $H$5:$H$10)</f>
        <v>4</v>
      </c>
      <c r="J7" s="337"/>
      <c r="K7" s="357"/>
      <c r="L7" s="358"/>
      <c r="M7" s="337"/>
    </row>
    <row r="8" spans="1:17" s="332" customFormat="1" ht="15">
      <c r="A8" s="332">
        <v>104</v>
      </c>
      <c r="B8" s="332" t="s">
        <v>155</v>
      </c>
      <c r="C8" s="333" t="s">
        <v>141</v>
      </c>
      <c r="D8" s="334" t="s">
        <v>37</v>
      </c>
      <c r="E8" s="335"/>
      <c r="F8" s="341">
        <v>0</v>
      </c>
      <c r="G8" s="345" t="s">
        <v>37</v>
      </c>
      <c r="H8" s="343">
        <v>0</v>
      </c>
      <c r="I8" s="336">
        <f>RANK(H8, $H$5:$H$10)</f>
        <v>5</v>
      </c>
      <c r="J8" s="337"/>
      <c r="K8" s="337"/>
      <c r="L8" s="337"/>
      <c r="M8" s="337"/>
    </row>
    <row r="9" spans="1:17" s="332" customFormat="1" ht="15">
      <c r="A9" s="332">
        <v>105</v>
      </c>
      <c r="B9" s="332" t="s">
        <v>156</v>
      </c>
      <c r="C9" s="333">
        <v>72</v>
      </c>
      <c r="D9" s="334">
        <v>7.5</v>
      </c>
      <c r="E9" s="335"/>
      <c r="F9" s="341">
        <v>1</v>
      </c>
      <c r="G9" s="345">
        <f t="shared" si="1"/>
        <v>150</v>
      </c>
      <c r="H9" s="343">
        <f>+D9+G9</f>
        <v>157.5</v>
      </c>
      <c r="I9" s="336"/>
      <c r="J9" s="337"/>
      <c r="K9" s="337"/>
      <c r="L9" s="337"/>
      <c r="M9" s="337"/>
    </row>
    <row r="10" spans="1:17" ht="15">
      <c r="A10">
        <v>111</v>
      </c>
      <c r="B10" t="s">
        <v>157</v>
      </c>
      <c r="C10" s="254" t="s">
        <v>141</v>
      </c>
      <c r="D10" s="334" t="s">
        <v>37</v>
      </c>
      <c r="E10" s="49"/>
      <c r="F10" s="342" t="s">
        <v>141</v>
      </c>
      <c r="G10" s="346" t="s">
        <v>37</v>
      </c>
      <c r="H10" s="344">
        <v>0</v>
      </c>
      <c r="I10" s="50">
        <f>RANK(H10, $H$5:$H$10)</f>
        <v>5</v>
      </c>
      <c r="J10" s="4"/>
      <c r="K10" s="1"/>
      <c r="L10" s="1"/>
      <c r="M10" s="1"/>
    </row>
    <row r="11" spans="1:17" ht="15.75" thickBot="1">
      <c r="A11">
        <v>112</v>
      </c>
      <c r="B11" t="s">
        <v>158</v>
      </c>
      <c r="C11" s="338" t="s">
        <v>141</v>
      </c>
      <c r="D11" s="334" t="s">
        <v>37</v>
      </c>
      <c r="E11" s="49"/>
      <c r="F11" s="342" t="s">
        <v>141</v>
      </c>
      <c r="G11" s="346" t="s">
        <v>37</v>
      </c>
      <c r="H11" s="344">
        <v>0</v>
      </c>
      <c r="I11" s="50">
        <f>RANK(H11, $H$5:$H$10)</f>
        <v>5</v>
      </c>
      <c r="J11" s="4"/>
      <c r="K11" s="1"/>
      <c r="L11" s="1"/>
      <c r="M11" s="1"/>
    </row>
    <row r="12" spans="1:17" ht="15.75" thickBot="1">
      <c r="A12">
        <v>113</v>
      </c>
      <c r="B12" t="s">
        <v>159</v>
      </c>
      <c r="C12" s="339" t="s">
        <v>141</v>
      </c>
      <c r="D12" s="340">
        <v>0</v>
      </c>
      <c r="E12" s="49"/>
      <c r="F12" s="342" t="s">
        <v>141</v>
      </c>
      <c r="G12" s="346" t="s">
        <v>37</v>
      </c>
      <c r="H12" s="344">
        <v>0</v>
      </c>
      <c r="I12" s="50">
        <f>RANK(H12, $H$5:$H$10)</f>
        <v>5</v>
      </c>
      <c r="J12" s="4"/>
      <c r="K12" s="1"/>
      <c r="L12" s="1"/>
      <c r="M12" s="1"/>
    </row>
    <row r="13" spans="1:17">
      <c r="C13" s="59"/>
      <c r="D13" s="59" t="s">
        <v>37</v>
      </c>
      <c r="E13" s="59" t="s">
        <v>111</v>
      </c>
      <c r="F13" s="125">
        <v>1</v>
      </c>
      <c r="G13" s="195"/>
      <c r="H13" s="46" t="s">
        <v>37</v>
      </c>
      <c r="I13" s="46" t="s">
        <v>37</v>
      </c>
      <c r="J13" s="4"/>
      <c r="K13" s="1"/>
      <c r="L13" s="1"/>
      <c r="M13" s="1"/>
    </row>
    <row r="14" spans="1:17">
      <c r="B14" s="123" t="s">
        <v>118</v>
      </c>
      <c r="C14" s="61">
        <f>MIN(C6:C12)</f>
        <v>71</v>
      </c>
      <c r="D14" s="62"/>
      <c r="E14" s="62" t="s">
        <v>113</v>
      </c>
      <c r="F14" s="125">
        <f>MAX(F5:F12)</f>
        <v>4</v>
      </c>
      <c r="G14" s="192"/>
      <c r="H14" s="62"/>
      <c r="I14" s="63"/>
      <c r="J14" s="4"/>
      <c r="K14" s="1"/>
      <c r="L14" s="1"/>
      <c r="M14" s="1"/>
    </row>
    <row r="15" spans="1:17">
      <c r="B15" s="123" t="s">
        <v>120</v>
      </c>
      <c r="C15" s="226">
        <v>72</v>
      </c>
      <c r="D15" s="62"/>
      <c r="E15" s="62" t="s">
        <v>110</v>
      </c>
      <c r="F15" s="62">
        <f>150/(F14-F13)</f>
        <v>50</v>
      </c>
      <c r="G15" s="192"/>
      <c r="H15" s="62"/>
      <c r="I15" s="63"/>
      <c r="J15" s="4"/>
      <c r="K15" s="1"/>
      <c r="L15" s="1"/>
      <c r="M15" s="1"/>
    </row>
    <row r="16" spans="1:17">
      <c r="B16" s="182"/>
      <c r="C16" s="61"/>
      <c r="D16" s="62"/>
      <c r="E16" s="62" t="s">
        <v>112</v>
      </c>
      <c r="F16" s="62">
        <f>F15*F14</f>
        <v>200</v>
      </c>
      <c r="G16" s="192"/>
      <c r="H16" s="62"/>
      <c r="I16" s="63"/>
      <c r="J16" s="4"/>
      <c r="K16" s="1"/>
      <c r="L16" s="1"/>
      <c r="M16" s="1"/>
    </row>
    <row r="17" spans="2:13">
      <c r="B17" s="218"/>
      <c r="C17" s="61"/>
      <c r="D17" s="62"/>
      <c r="E17" s="62"/>
      <c r="F17" s="62"/>
      <c r="G17" s="192"/>
      <c r="H17" s="62"/>
      <c r="I17" s="63"/>
      <c r="J17" s="4"/>
      <c r="K17" s="1"/>
      <c r="L17" s="1"/>
      <c r="M17" s="1"/>
    </row>
    <row r="18" spans="2:13">
      <c r="B18" s="197"/>
      <c r="C18" s="61"/>
      <c r="D18" s="62"/>
      <c r="E18" s="62"/>
      <c r="F18" s="62"/>
      <c r="G18" s="192"/>
      <c r="H18" s="62"/>
      <c r="I18" s="63"/>
      <c r="J18" s="4"/>
      <c r="K18" s="1"/>
      <c r="L18" s="1"/>
      <c r="M18" s="1"/>
    </row>
    <row r="19" spans="2:13">
      <c r="B19" s="197"/>
      <c r="C19" s="61"/>
      <c r="D19" s="62"/>
      <c r="E19" s="62"/>
      <c r="G19" s="192"/>
      <c r="H19" s="62"/>
      <c r="I19" s="63"/>
      <c r="J19" s="4"/>
      <c r="K19" s="1"/>
      <c r="L19" s="1"/>
      <c r="M19" s="1"/>
    </row>
    <row r="20" spans="2:13">
      <c r="B20" s="197"/>
      <c r="C20" s="219" t="s">
        <v>121</v>
      </c>
      <c r="D20" s="62"/>
      <c r="E20" s="62"/>
      <c r="G20" s="192"/>
      <c r="H20" s="62"/>
      <c r="I20" s="63"/>
      <c r="J20" s="4"/>
      <c r="K20" s="1"/>
      <c r="L20" s="1"/>
      <c r="M20" s="1"/>
    </row>
    <row r="21" spans="2:13">
      <c r="B21" s="60"/>
      <c r="C21" s="217" t="s">
        <v>85</v>
      </c>
      <c r="D21" s="211" t="s">
        <v>41</v>
      </c>
      <c r="E21" s="62"/>
      <c r="F21" s="62"/>
      <c r="G21" s="192"/>
      <c r="H21" s="62"/>
      <c r="I21" s="63"/>
      <c r="J21" s="4"/>
      <c r="K21" s="1"/>
      <c r="L21" s="1"/>
      <c r="M21" s="1"/>
    </row>
    <row r="22" spans="2:13">
      <c r="B22" s="212" t="s">
        <v>114</v>
      </c>
      <c r="C22" s="210">
        <f>C14</f>
        <v>71</v>
      </c>
      <c r="D22" s="147">
        <f>10^(($C$22-C22)/10)*150</f>
        <v>150</v>
      </c>
      <c r="E22" s="221" t="s">
        <v>122</v>
      </c>
      <c r="F22" s="62"/>
      <c r="G22" s="192"/>
      <c r="H22" s="62"/>
      <c r="I22" s="63"/>
      <c r="J22" s="4"/>
      <c r="K22" s="1"/>
      <c r="L22" s="1"/>
      <c r="M22" s="1"/>
    </row>
    <row r="23" spans="2:13">
      <c r="B23" s="60"/>
      <c r="C23" s="210">
        <f>C22+0.5</f>
        <v>71.5</v>
      </c>
      <c r="D23" s="147">
        <f t="shared" ref="D23:D38" si="2">10^(($C$22-C23)/10)*150</f>
        <v>133.68764072006181</v>
      </c>
      <c r="E23" s="62"/>
      <c r="F23" s="62"/>
      <c r="G23" s="192"/>
      <c r="H23" s="62"/>
      <c r="I23" s="63"/>
      <c r="J23" s="4"/>
      <c r="K23" s="1"/>
      <c r="L23" s="1"/>
      <c r="M23" s="1"/>
    </row>
    <row r="24" spans="2:13">
      <c r="B24" s="60"/>
      <c r="C24" s="210">
        <f t="shared" ref="C24:C38" si="3">C23+0.5</f>
        <v>72</v>
      </c>
      <c r="D24" s="147">
        <f t="shared" si="2"/>
        <v>119.14923520864222</v>
      </c>
      <c r="E24" s="62"/>
      <c r="F24" s="62"/>
      <c r="G24" s="192"/>
      <c r="H24" s="62"/>
      <c r="I24" s="63"/>
      <c r="J24" s="4"/>
      <c r="K24" s="1"/>
      <c r="L24" s="1"/>
      <c r="M24" s="1"/>
    </row>
    <row r="25" spans="2:13">
      <c r="B25" s="60"/>
      <c r="C25" s="210">
        <f t="shared" si="3"/>
        <v>72.5</v>
      </c>
      <c r="D25" s="147">
        <f t="shared" si="2"/>
        <v>106.19186765762069</v>
      </c>
      <c r="E25" s="62"/>
      <c r="F25" s="62"/>
      <c r="G25" s="192"/>
      <c r="H25" s="62"/>
      <c r="I25" s="63"/>
      <c r="J25" s="4"/>
      <c r="K25" s="1"/>
      <c r="L25" s="1"/>
      <c r="M25" s="1"/>
    </row>
    <row r="26" spans="2:13">
      <c r="B26" s="60"/>
      <c r="C26" s="210">
        <f t="shared" si="3"/>
        <v>73</v>
      </c>
      <c r="D26" s="147">
        <f t="shared" si="2"/>
        <v>94.643601672028993</v>
      </c>
      <c r="E26" s="62"/>
      <c r="F26" s="62"/>
      <c r="G26" s="192"/>
      <c r="H26" s="62"/>
      <c r="I26" s="63"/>
      <c r="J26" s="4"/>
      <c r="K26" s="1"/>
      <c r="L26" s="1"/>
      <c r="M26" s="1"/>
    </row>
    <row r="27" spans="2:13">
      <c r="B27" s="60"/>
      <c r="C27" s="210">
        <f t="shared" si="3"/>
        <v>73.5</v>
      </c>
      <c r="D27" s="147">
        <f t="shared" si="2"/>
        <v>84.351198778552359</v>
      </c>
      <c r="E27" s="62"/>
      <c r="F27" s="62"/>
      <c r="G27" s="192"/>
      <c r="H27" s="62"/>
      <c r="I27" s="63"/>
      <c r="J27" s="4"/>
      <c r="K27" s="1"/>
      <c r="L27" s="1"/>
      <c r="M27" s="1"/>
    </row>
    <row r="28" spans="2:13">
      <c r="B28" s="60"/>
      <c r="C28" s="210">
        <f t="shared" si="3"/>
        <v>74</v>
      </c>
      <c r="D28" s="147">
        <f t="shared" si="2"/>
        <v>75.178085044090835</v>
      </c>
      <c r="E28" s="122"/>
      <c r="F28" s="62"/>
      <c r="G28" s="196"/>
      <c r="H28" s="123"/>
      <c r="I28" s="63"/>
      <c r="J28" s="4"/>
    </row>
    <row r="29" spans="2:13">
      <c r="B29" s="60"/>
      <c r="C29" s="210">
        <f t="shared" si="3"/>
        <v>74.5</v>
      </c>
      <c r="D29" s="147">
        <f t="shared" si="2"/>
        <v>67.002538822644468</v>
      </c>
      <c r="E29" s="62"/>
      <c r="F29" s="62"/>
      <c r="G29" s="192"/>
      <c r="H29" s="62"/>
      <c r="I29" s="63"/>
      <c r="J29" s="4"/>
    </row>
    <row r="30" spans="2:13">
      <c r="B30" s="1"/>
      <c r="C30" s="210">
        <f t="shared" si="3"/>
        <v>75</v>
      </c>
      <c r="D30" s="147">
        <f t="shared" si="2"/>
        <v>59.716075583024583</v>
      </c>
      <c r="E30" s="1"/>
      <c r="F30" s="1"/>
      <c r="G30" s="193"/>
      <c r="H30" s="1"/>
      <c r="I30" s="1"/>
      <c r="J30" s="4"/>
    </row>
    <row r="31" spans="2:13">
      <c r="B31" s="1"/>
      <c r="C31" s="210">
        <f t="shared" si="3"/>
        <v>75.5</v>
      </c>
      <c r="D31" s="147">
        <f t="shared" si="2"/>
        <v>53.222008385036311</v>
      </c>
      <c r="E31" s="4"/>
      <c r="F31" s="4"/>
      <c r="G31" s="194"/>
      <c r="H31" s="4"/>
      <c r="I31" s="4"/>
      <c r="J31" s="4"/>
    </row>
    <row r="32" spans="2:13">
      <c r="C32" s="210">
        <f t="shared" si="3"/>
        <v>76</v>
      </c>
      <c r="D32" s="147">
        <f t="shared" si="2"/>
        <v>47.434164902525694</v>
      </c>
      <c r="E32" s="4"/>
      <c r="F32" s="4"/>
      <c r="G32" s="194"/>
      <c r="H32" s="4"/>
      <c r="I32" s="4"/>
      <c r="J32" s="4"/>
    </row>
    <row r="33" spans="2:10">
      <c r="C33" s="210">
        <f t="shared" si="3"/>
        <v>76.5</v>
      </c>
      <c r="D33" s="147">
        <f t="shared" si="2"/>
        <v>42.2757439689668</v>
      </c>
      <c r="E33" s="4"/>
      <c r="F33" s="4"/>
      <c r="G33" s="194"/>
      <c r="H33" s="4"/>
      <c r="I33" s="4"/>
      <c r="J33" s="4"/>
    </row>
    <row r="34" spans="2:10">
      <c r="C34" s="210">
        <f t="shared" si="3"/>
        <v>77</v>
      </c>
      <c r="D34" s="147">
        <f t="shared" si="2"/>
        <v>37.678296472643702</v>
      </c>
      <c r="E34" s="4"/>
      <c r="F34" s="4"/>
      <c r="G34" s="194"/>
      <c r="H34" s="4"/>
      <c r="I34" s="4"/>
      <c r="J34" s="4"/>
    </row>
    <row r="35" spans="2:10">
      <c r="C35" s="210">
        <f t="shared" si="3"/>
        <v>77.5</v>
      </c>
      <c r="D35" s="147">
        <f t="shared" si="2"/>
        <v>33.580817078525087</v>
      </c>
      <c r="E35" s="4"/>
      <c r="F35" s="4"/>
      <c r="G35" s="194"/>
      <c r="H35" s="4"/>
      <c r="I35" s="4"/>
      <c r="J35" s="4"/>
    </row>
    <row r="36" spans="2:10">
      <c r="C36" s="210">
        <f t="shared" si="3"/>
        <v>78</v>
      </c>
      <c r="D36" s="147">
        <f t="shared" si="2"/>
        <v>29.928934724533192</v>
      </c>
      <c r="E36" s="4"/>
      <c r="F36" s="4"/>
      <c r="G36" s="194"/>
      <c r="H36" s="4"/>
      <c r="I36" s="4"/>
      <c r="J36" s="4"/>
    </row>
    <row r="37" spans="2:10">
      <c r="C37" s="210">
        <f t="shared" si="3"/>
        <v>78.5</v>
      </c>
      <c r="D37" s="147">
        <f t="shared" si="2"/>
        <v>26.674191150583834</v>
      </c>
      <c r="E37" s="4"/>
      <c r="F37" s="4"/>
      <c r="G37" s="194"/>
      <c r="H37" s="4"/>
      <c r="I37" s="4"/>
      <c r="J37" s="4"/>
    </row>
    <row r="38" spans="2:10">
      <c r="B38" s="203" t="s">
        <v>115</v>
      </c>
      <c r="C38" s="210">
        <f t="shared" si="3"/>
        <v>79</v>
      </c>
      <c r="D38" s="147">
        <f t="shared" si="2"/>
        <v>23.773397886916698</v>
      </c>
      <c r="E38" s="220" t="s">
        <v>123</v>
      </c>
      <c r="F38" s="4"/>
      <c r="G38" s="194"/>
      <c r="H38" s="4"/>
      <c r="I38" s="4"/>
      <c r="J38" s="4"/>
    </row>
    <row r="39" spans="2:10">
      <c r="C39" s="210"/>
      <c r="D39" s="204"/>
      <c r="E39" s="4"/>
      <c r="F39" s="4"/>
      <c r="G39" s="194"/>
      <c r="H39" s="4"/>
      <c r="I39" s="4"/>
      <c r="J39" s="4"/>
    </row>
    <row r="40" spans="2:10">
      <c r="C40" s="210"/>
      <c r="D40" s="204"/>
      <c r="E40" s="4"/>
      <c r="F40" s="4"/>
      <c r="G40" s="194"/>
      <c r="H40" s="4"/>
      <c r="I40" s="4"/>
      <c r="J40" s="4"/>
    </row>
    <row r="41" spans="2:10">
      <c r="C41" s="61"/>
      <c r="D41" s="220"/>
      <c r="E41" s="4"/>
      <c r="F41" s="4"/>
      <c r="G41" s="194"/>
      <c r="H41" s="4"/>
      <c r="I41" s="4"/>
      <c r="J41" s="4"/>
    </row>
    <row r="42" spans="2:10">
      <c r="C42" s="61"/>
      <c r="D42" s="220"/>
      <c r="E42" s="4"/>
      <c r="F42" s="4"/>
      <c r="G42" s="194"/>
      <c r="H42" s="4"/>
      <c r="I42" s="4"/>
      <c r="J42" s="4"/>
    </row>
    <row r="43" spans="2:10">
      <c r="C43" s="61"/>
      <c r="D43" s="220"/>
      <c r="E43" s="4"/>
      <c r="F43" s="4"/>
      <c r="G43" s="194"/>
      <c r="H43" s="4"/>
      <c r="I43" s="4"/>
    </row>
    <row r="44" spans="2:10">
      <c r="C44" s="61"/>
      <c r="D44" s="220"/>
      <c r="E44" s="4"/>
      <c r="F44" s="4"/>
      <c r="G44" s="194"/>
      <c r="H44" s="4"/>
      <c r="I44" s="4"/>
    </row>
    <row r="45" spans="2:10">
      <c r="C45" s="61"/>
      <c r="D45" s="220"/>
      <c r="E45" s="4"/>
      <c r="F45" s="4"/>
      <c r="G45" s="194"/>
      <c r="H45" s="4"/>
      <c r="I45" s="4"/>
    </row>
  </sheetData>
  <phoneticPr fontId="19" type="noConversion"/>
  <printOptions gridLines="1"/>
  <pageMargins left="0.75" right="0.75" top="0.5" bottom="0.5" header="0.5" footer="0.5"/>
  <pageSetup scale="44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C24"/>
  <sheetViews>
    <sheetView zoomScaleNormal="100" workbookViewId="0"/>
  </sheetViews>
  <sheetFormatPr defaultColWidth="8.85546875" defaultRowHeight="12.75"/>
  <cols>
    <col min="2" max="2" width="49.5703125" customWidth="1"/>
    <col min="3" max="3" width="5.5703125" style="3" customWidth="1"/>
    <col min="4" max="19" width="5.5703125" customWidth="1"/>
    <col min="20" max="20" width="6.140625" customWidth="1"/>
    <col min="21" max="50" width="5.5703125" customWidth="1"/>
  </cols>
  <sheetData>
    <row r="1" spans="1:55" ht="18.75">
      <c r="B1" s="39" t="s">
        <v>165</v>
      </c>
      <c r="C1" s="37"/>
      <c r="D1" s="27"/>
      <c r="E1" s="27"/>
      <c r="F1" s="27"/>
      <c r="G1" s="149"/>
      <c r="H1" s="27"/>
      <c r="I1" s="272" t="s">
        <v>116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144"/>
      <c r="AZ1" s="144"/>
    </row>
    <row r="2" spans="1:55"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4"/>
      <c r="AZ2" s="144"/>
    </row>
    <row r="3" spans="1:55" s="56" customFormat="1">
      <c r="B3" s="203"/>
      <c r="C3" s="222">
        <v>1</v>
      </c>
      <c r="D3" s="222">
        <v>2</v>
      </c>
      <c r="E3" s="222">
        <v>3</v>
      </c>
      <c r="F3" s="222">
        <v>4</v>
      </c>
      <c r="G3" s="222">
        <v>5</v>
      </c>
      <c r="H3" s="222">
        <v>6</v>
      </c>
      <c r="I3" s="222">
        <v>7</v>
      </c>
      <c r="J3" s="222">
        <v>8</v>
      </c>
      <c r="K3" s="222">
        <v>9</v>
      </c>
      <c r="L3" s="222">
        <v>10</v>
      </c>
      <c r="M3" s="222">
        <v>11</v>
      </c>
      <c r="N3" s="222">
        <v>12</v>
      </c>
      <c r="O3" s="222">
        <v>13</v>
      </c>
      <c r="P3" s="222">
        <v>14</v>
      </c>
      <c r="Q3" s="222">
        <v>15</v>
      </c>
      <c r="R3" s="222">
        <v>16</v>
      </c>
      <c r="S3" s="222">
        <v>17</v>
      </c>
      <c r="T3" s="222">
        <v>18</v>
      </c>
      <c r="U3" s="222">
        <v>19</v>
      </c>
      <c r="V3" s="222">
        <v>20</v>
      </c>
      <c r="W3" s="222">
        <v>21</v>
      </c>
      <c r="X3" s="222">
        <v>22</v>
      </c>
      <c r="Y3" s="222">
        <v>23</v>
      </c>
      <c r="Z3" s="222">
        <v>24</v>
      </c>
      <c r="AA3" s="222">
        <v>25</v>
      </c>
      <c r="AB3" s="222">
        <v>26</v>
      </c>
      <c r="AC3" s="222">
        <v>27</v>
      </c>
      <c r="AD3" s="222">
        <v>28</v>
      </c>
      <c r="AE3" s="222">
        <v>29</v>
      </c>
      <c r="AF3" s="222">
        <v>30</v>
      </c>
      <c r="AG3" s="222">
        <v>31</v>
      </c>
      <c r="AH3" s="222">
        <v>32</v>
      </c>
      <c r="AI3" s="222">
        <v>33</v>
      </c>
      <c r="AJ3" s="222">
        <v>34</v>
      </c>
      <c r="AK3" s="222">
        <v>35</v>
      </c>
      <c r="AL3" s="222">
        <v>36</v>
      </c>
      <c r="AM3" s="222">
        <v>37</v>
      </c>
      <c r="AN3" s="222">
        <v>38</v>
      </c>
      <c r="AO3" s="222">
        <v>39</v>
      </c>
      <c r="AP3" s="222">
        <v>40</v>
      </c>
      <c r="AQ3" s="222">
        <v>41</v>
      </c>
      <c r="AR3" s="222">
        <v>42</v>
      </c>
      <c r="AS3" s="222">
        <v>43</v>
      </c>
      <c r="AT3" s="222">
        <v>44</v>
      </c>
      <c r="AU3" s="222">
        <v>45</v>
      </c>
      <c r="AV3" s="222">
        <v>46</v>
      </c>
      <c r="AW3" s="222">
        <v>47</v>
      </c>
      <c r="AX3" s="222">
        <v>48</v>
      </c>
      <c r="AY3" s="134" t="s">
        <v>57</v>
      </c>
      <c r="AZ3" s="134" t="s">
        <v>41</v>
      </c>
      <c r="BA3" s="118" t="s">
        <v>23</v>
      </c>
      <c r="BB3" s="201"/>
      <c r="BC3" s="201"/>
    </row>
    <row r="4" spans="1:55" s="56" customFormat="1" ht="15">
      <c r="A4">
        <v>101</v>
      </c>
      <c r="B4" t="s">
        <v>152</v>
      </c>
      <c r="C4" s="304">
        <v>60</v>
      </c>
      <c r="D4" s="305">
        <v>77.5</v>
      </c>
      <c r="E4" s="305">
        <v>72.5</v>
      </c>
      <c r="F4" s="305">
        <v>70</v>
      </c>
      <c r="G4" s="305">
        <v>67.5</v>
      </c>
      <c r="H4" s="305"/>
      <c r="I4" s="305">
        <v>55</v>
      </c>
      <c r="J4" s="305">
        <v>80</v>
      </c>
      <c r="K4" s="305">
        <v>52</v>
      </c>
      <c r="L4" s="305">
        <v>70.5</v>
      </c>
      <c r="M4" s="305"/>
      <c r="N4" s="305">
        <v>75</v>
      </c>
      <c r="O4" s="305">
        <v>65</v>
      </c>
      <c r="P4" s="305">
        <v>61</v>
      </c>
      <c r="Q4" s="305">
        <v>69</v>
      </c>
      <c r="R4" s="305">
        <v>63.5</v>
      </c>
      <c r="S4" s="305">
        <v>64</v>
      </c>
      <c r="T4" s="305">
        <v>76.5</v>
      </c>
      <c r="U4" s="305">
        <v>51</v>
      </c>
      <c r="V4" s="305">
        <v>78</v>
      </c>
      <c r="W4" s="305">
        <v>30</v>
      </c>
      <c r="X4" s="305"/>
      <c r="Y4" s="305">
        <v>75</v>
      </c>
      <c r="Z4" s="305">
        <v>67.5</v>
      </c>
      <c r="AA4" s="305">
        <v>65</v>
      </c>
      <c r="AB4" s="305">
        <v>52</v>
      </c>
      <c r="AC4" s="305">
        <v>53</v>
      </c>
      <c r="AD4" s="305">
        <v>77.5</v>
      </c>
      <c r="AE4" s="305">
        <v>67.5</v>
      </c>
      <c r="AF4" s="305">
        <v>80</v>
      </c>
      <c r="AG4" s="305">
        <v>65</v>
      </c>
      <c r="AH4" s="305">
        <v>80</v>
      </c>
      <c r="AI4" s="305">
        <v>45.5</v>
      </c>
      <c r="AJ4" s="305">
        <v>74</v>
      </c>
      <c r="AK4" s="305"/>
      <c r="AL4" s="305">
        <v>44</v>
      </c>
      <c r="AM4" s="305">
        <v>64</v>
      </c>
      <c r="AN4" s="305"/>
      <c r="AO4" s="305">
        <v>64</v>
      </c>
      <c r="AP4" s="305">
        <v>57.5</v>
      </c>
      <c r="AQ4" s="305">
        <v>77.5</v>
      </c>
      <c r="AR4" s="280">
        <v>55</v>
      </c>
      <c r="AS4" s="280">
        <v>72.5</v>
      </c>
      <c r="AT4" s="280">
        <v>80</v>
      </c>
      <c r="AU4" s="280">
        <v>72.5</v>
      </c>
      <c r="AV4" s="280">
        <v>80</v>
      </c>
      <c r="AW4" s="280">
        <v>77.5</v>
      </c>
      <c r="AX4" s="280">
        <v>70.5</v>
      </c>
      <c r="AY4" s="213">
        <f>AVERAGE(C4:AX4)</f>
        <v>66.395348837209298</v>
      </c>
      <c r="AZ4" s="213">
        <f t="shared" ref="AZ4:AZ11" si="0">IF(AY4&lt;5,5,AY4)</f>
        <v>66.395348837209298</v>
      </c>
      <c r="BA4" s="148">
        <f>RANK(AZ4,$AZ$4:$AZ$12)</f>
        <v>3</v>
      </c>
      <c r="BB4" s="201"/>
      <c r="BC4" s="201"/>
    </row>
    <row r="5" spans="1:55" s="56" customFormat="1" ht="15">
      <c r="A5">
        <v>102</v>
      </c>
      <c r="B5" t="s">
        <v>153</v>
      </c>
      <c r="C5" s="304">
        <v>46</v>
      </c>
      <c r="D5" s="305">
        <v>70</v>
      </c>
      <c r="E5" s="305">
        <v>40</v>
      </c>
      <c r="F5" s="305">
        <v>39</v>
      </c>
      <c r="G5" s="305">
        <v>77.5</v>
      </c>
      <c r="H5" s="305">
        <v>40</v>
      </c>
      <c r="I5" s="305">
        <v>54</v>
      </c>
      <c r="J5" s="305">
        <v>72</v>
      </c>
      <c r="K5" s="305">
        <v>42</v>
      </c>
      <c r="L5" s="305">
        <v>50</v>
      </c>
      <c r="M5" s="305">
        <v>54.5</v>
      </c>
      <c r="N5" s="305">
        <v>52.5</v>
      </c>
      <c r="O5" s="305">
        <v>49</v>
      </c>
      <c r="P5" s="305">
        <v>67</v>
      </c>
      <c r="Q5" s="305">
        <v>64</v>
      </c>
      <c r="R5" s="305">
        <v>48.5</v>
      </c>
      <c r="S5" s="305">
        <v>69</v>
      </c>
      <c r="T5" s="305">
        <v>65</v>
      </c>
      <c r="U5" s="305">
        <v>48.5</v>
      </c>
      <c r="V5" s="305">
        <v>76</v>
      </c>
      <c r="W5" s="305">
        <v>30</v>
      </c>
      <c r="X5" s="305"/>
      <c r="Y5" s="305">
        <v>66</v>
      </c>
      <c r="Z5" s="305">
        <v>70</v>
      </c>
      <c r="AA5" s="305">
        <v>41</v>
      </c>
      <c r="AB5" s="305">
        <v>73</v>
      </c>
      <c r="AC5" s="305">
        <v>63</v>
      </c>
      <c r="AD5" s="305">
        <v>47.5</v>
      </c>
      <c r="AE5" s="305">
        <v>55</v>
      </c>
      <c r="AF5" s="305">
        <v>74</v>
      </c>
      <c r="AG5" s="305">
        <v>37.5</v>
      </c>
      <c r="AH5" s="305">
        <v>50</v>
      </c>
      <c r="AI5" s="305">
        <v>78</v>
      </c>
      <c r="AJ5" s="305">
        <v>64</v>
      </c>
      <c r="AK5" s="305"/>
      <c r="AL5" s="305">
        <v>36.5</v>
      </c>
      <c r="AM5" s="305">
        <v>57</v>
      </c>
      <c r="AN5" s="305"/>
      <c r="AO5" s="305">
        <v>50</v>
      </c>
      <c r="AP5" s="305">
        <v>45</v>
      </c>
      <c r="AQ5" s="305">
        <v>52.5</v>
      </c>
      <c r="AR5" s="280">
        <v>67.5</v>
      </c>
      <c r="AS5" s="280">
        <v>57.5</v>
      </c>
      <c r="AT5" s="280">
        <v>80</v>
      </c>
      <c r="AU5" s="280">
        <v>60</v>
      </c>
      <c r="AV5" s="280">
        <v>72.5</v>
      </c>
      <c r="AW5" s="280">
        <v>75.5</v>
      </c>
      <c r="AX5" s="280">
        <v>68</v>
      </c>
      <c r="AY5" s="213">
        <f t="shared" ref="AY5:AY11" si="1">AVERAGE(C5:AX5)</f>
        <v>57.677777777777777</v>
      </c>
      <c r="AZ5" s="213">
        <f t="shared" si="0"/>
        <v>57.677777777777777</v>
      </c>
      <c r="BA5" s="148">
        <f t="shared" ref="BA5:BA11" si="2">RANK(AZ5,$AZ$4:$AZ$12)</f>
        <v>5</v>
      </c>
      <c r="BB5" s="201"/>
      <c r="BC5" s="201"/>
    </row>
    <row r="6" spans="1:55">
      <c r="A6">
        <v>103</v>
      </c>
      <c r="B6" t="s">
        <v>154</v>
      </c>
      <c r="C6" s="306">
        <v>69</v>
      </c>
      <c r="D6" s="306">
        <v>87.5</v>
      </c>
      <c r="E6" s="306">
        <v>62.5</v>
      </c>
      <c r="F6" s="306">
        <v>78</v>
      </c>
      <c r="G6" s="306">
        <v>83</v>
      </c>
      <c r="H6" s="306">
        <v>67.5</v>
      </c>
      <c r="I6" s="306">
        <v>65</v>
      </c>
      <c r="J6" s="306">
        <v>88</v>
      </c>
      <c r="K6" s="306">
        <v>57</v>
      </c>
      <c r="L6" s="306">
        <v>75</v>
      </c>
      <c r="M6" s="306">
        <v>68</v>
      </c>
      <c r="N6" s="306">
        <v>85</v>
      </c>
      <c r="O6" s="306">
        <v>72</v>
      </c>
      <c r="P6" s="306">
        <v>77</v>
      </c>
      <c r="Q6" s="306">
        <v>84</v>
      </c>
      <c r="R6" s="306">
        <v>79.5</v>
      </c>
      <c r="S6" s="306">
        <v>78</v>
      </c>
      <c r="T6" s="306">
        <v>76</v>
      </c>
      <c r="U6" s="306">
        <v>59.5</v>
      </c>
      <c r="V6" s="306">
        <v>74</v>
      </c>
      <c r="W6" s="306">
        <v>31</v>
      </c>
      <c r="X6" s="306"/>
      <c r="Y6" s="306">
        <v>56</v>
      </c>
      <c r="Z6" s="306">
        <v>80</v>
      </c>
      <c r="AA6" s="306">
        <v>76</v>
      </c>
      <c r="AB6" s="306">
        <v>78</v>
      </c>
      <c r="AC6" s="306">
        <v>70</v>
      </c>
      <c r="AD6" s="306">
        <v>62.5</v>
      </c>
      <c r="AE6" s="306">
        <v>62.5</v>
      </c>
      <c r="AF6" s="306">
        <v>82</v>
      </c>
      <c r="AG6" s="306">
        <v>37.5</v>
      </c>
      <c r="AH6" s="306">
        <v>80</v>
      </c>
      <c r="AI6" s="306">
        <v>82</v>
      </c>
      <c r="AJ6" s="306">
        <v>66</v>
      </c>
      <c r="AK6" s="306"/>
      <c r="AL6" s="306">
        <v>60</v>
      </c>
      <c r="AM6" s="306">
        <v>79</v>
      </c>
      <c r="AN6" s="306"/>
      <c r="AO6" s="306">
        <v>93</v>
      </c>
      <c r="AP6" s="306">
        <v>75</v>
      </c>
      <c r="AQ6" s="306">
        <v>86</v>
      </c>
      <c r="AR6" s="281">
        <v>75</v>
      </c>
      <c r="AS6" s="281">
        <v>85</v>
      </c>
      <c r="AT6" s="281">
        <v>90</v>
      </c>
      <c r="AU6" s="281">
        <v>65</v>
      </c>
      <c r="AV6" s="281">
        <v>80</v>
      </c>
      <c r="AW6" s="281">
        <v>97.5</v>
      </c>
      <c r="AX6" s="281">
        <v>83</v>
      </c>
      <c r="AY6" s="213">
        <f t="shared" si="1"/>
        <v>73.722222222222229</v>
      </c>
      <c r="AZ6" s="213">
        <f t="shared" si="0"/>
        <v>73.722222222222229</v>
      </c>
      <c r="BA6" s="148">
        <f t="shared" si="2"/>
        <v>2</v>
      </c>
    </row>
    <row r="7" spans="1:55">
      <c r="A7">
        <v>104</v>
      </c>
      <c r="B7" t="s">
        <v>155</v>
      </c>
      <c r="C7" s="306">
        <v>48</v>
      </c>
      <c r="D7" s="306">
        <v>62.5</v>
      </c>
      <c r="E7" s="306">
        <v>15</v>
      </c>
      <c r="F7" s="306">
        <v>52</v>
      </c>
      <c r="G7" s="306">
        <v>75</v>
      </c>
      <c r="H7" s="306">
        <v>25</v>
      </c>
      <c r="I7" s="306">
        <v>43</v>
      </c>
      <c r="J7" s="306">
        <v>57</v>
      </c>
      <c r="K7" s="306">
        <v>34</v>
      </c>
      <c r="L7" s="306">
        <v>59.5</v>
      </c>
      <c r="M7" s="306">
        <v>29.5</v>
      </c>
      <c r="N7" s="306">
        <v>82.5</v>
      </c>
      <c r="O7" s="306">
        <v>45</v>
      </c>
      <c r="P7" s="306">
        <v>39</v>
      </c>
      <c r="Q7" s="306">
        <v>72</v>
      </c>
      <c r="R7" s="306">
        <v>54</v>
      </c>
      <c r="S7" s="306">
        <v>57</v>
      </c>
      <c r="T7" s="306">
        <v>60</v>
      </c>
      <c r="U7" s="306">
        <v>21.5</v>
      </c>
      <c r="V7" s="306">
        <v>74</v>
      </c>
      <c r="W7" s="306">
        <v>27</v>
      </c>
      <c r="X7" s="306"/>
      <c r="Y7" s="306">
        <v>30</v>
      </c>
      <c r="Z7" s="306">
        <v>32.5</v>
      </c>
      <c r="AA7" s="306">
        <v>29</v>
      </c>
      <c r="AB7" s="306">
        <v>70</v>
      </c>
      <c r="AC7" s="306">
        <v>50</v>
      </c>
      <c r="AD7" s="306">
        <v>30</v>
      </c>
      <c r="AE7" s="306">
        <v>27.5</v>
      </c>
      <c r="AF7" s="306">
        <v>63.5</v>
      </c>
      <c r="AG7" s="306">
        <v>35</v>
      </c>
      <c r="AH7" s="306">
        <v>95</v>
      </c>
      <c r="AI7" s="306">
        <v>69</v>
      </c>
      <c r="AJ7" s="306"/>
      <c r="AK7" s="306"/>
      <c r="AL7" s="306">
        <v>47</v>
      </c>
      <c r="AM7" s="306">
        <v>50</v>
      </c>
      <c r="AN7" s="306"/>
      <c r="AO7" s="306">
        <v>57</v>
      </c>
      <c r="AP7" s="306">
        <v>25</v>
      </c>
      <c r="AQ7" s="306">
        <v>70</v>
      </c>
      <c r="AR7" s="281"/>
      <c r="AS7" s="281">
        <v>52.5</v>
      </c>
      <c r="AT7" s="279">
        <v>57.5</v>
      </c>
      <c r="AU7" s="281">
        <v>53</v>
      </c>
      <c r="AV7" s="281">
        <v>72.5</v>
      </c>
      <c r="AW7" s="281">
        <v>85</v>
      </c>
      <c r="AX7" s="281"/>
      <c r="AY7" s="213">
        <f t="shared" si="1"/>
        <v>50.797619047619051</v>
      </c>
      <c r="AZ7" s="213">
        <f t="shared" si="0"/>
        <v>50.797619047619051</v>
      </c>
      <c r="BA7" s="148">
        <f t="shared" si="2"/>
        <v>6</v>
      </c>
    </row>
    <row r="8" spans="1:55">
      <c r="A8">
        <v>105</v>
      </c>
      <c r="B8" t="s">
        <v>156</v>
      </c>
      <c r="C8" s="306"/>
      <c r="D8" s="306">
        <v>95</v>
      </c>
      <c r="E8" s="306">
        <v>85</v>
      </c>
      <c r="F8" s="306">
        <v>77</v>
      </c>
      <c r="G8" s="306">
        <v>76</v>
      </c>
      <c r="H8" s="306">
        <v>80</v>
      </c>
      <c r="I8" s="306">
        <v>78</v>
      </c>
      <c r="J8" s="306">
        <v>83</v>
      </c>
      <c r="K8" s="306">
        <v>74</v>
      </c>
      <c r="L8" s="306">
        <v>63.5</v>
      </c>
      <c r="M8" s="306">
        <v>92.5</v>
      </c>
      <c r="N8" s="306">
        <v>95</v>
      </c>
      <c r="O8" s="306">
        <v>86</v>
      </c>
      <c r="P8" s="306">
        <v>63</v>
      </c>
      <c r="Q8" s="306">
        <v>76</v>
      </c>
      <c r="R8" s="306">
        <v>77.5</v>
      </c>
      <c r="S8" s="306">
        <v>82</v>
      </c>
      <c r="T8" s="306">
        <v>71</v>
      </c>
      <c r="U8" s="306">
        <v>74.5</v>
      </c>
      <c r="V8" s="306">
        <v>78</v>
      </c>
      <c r="W8" s="306">
        <v>41</v>
      </c>
      <c r="X8" s="306"/>
      <c r="Y8" s="306">
        <v>83</v>
      </c>
      <c r="Z8" s="306">
        <v>92.5</v>
      </c>
      <c r="AA8" s="306">
        <v>96</v>
      </c>
      <c r="AB8" s="306">
        <v>88</v>
      </c>
      <c r="AC8" s="306">
        <v>90</v>
      </c>
      <c r="AD8" s="306">
        <v>85</v>
      </c>
      <c r="AE8" s="306">
        <v>57.5</v>
      </c>
      <c r="AF8" s="306">
        <v>76</v>
      </c>
      <c r="AG8" s="306">
        <v>35</v>
      </c>
      <c r="AH8" s="306">
        <v>100</v>
      </c>
      <c r="AI8" s="306">
        <v>78</v>
      </c>
      <c r="AJ8" s="306"/>
      <c r="AK8" s="306"/>
      <c r="AL8" s="306">
        <v>67.5</v>
      </c>
      <c r="AM8" s="306">
        <v>82</v>
      </c>
      <c r="AN8" s="306"/>
      <c r="AO8" s="306">
        <v>62</v>
      </c>
      <c r="AP8" s="306">
        <v>77.5</v>
      </c>
      <c r="AQ8" s="306">
        <v>84</v>
      </c>
      <c r="AR8" s="281"/>
      <c r="AS8" s="281">
        <v>60</v>
      </c>
      <c r="AT8" s="281">
        <v>85</v>
      </c>
      <c r="AU8" s="281">
        <v>90</v>
      </c>
      <c r="AV8" s="281">
        <v>85</v>
      </c>
      <c r="AW8" s="281">
        <v>85</v>
      </c>
      <c r="AX8" s="281"/>
      <c r="AY8" s="213">
        <f t="shared" si="1"/>
        <v>78.219512195121951</v>
      </c>
      <c r="AZ8" s="213">
        <f t="shared" si="0"/>
        <v>78.219512195121951</v>
      </c>
      <c r="BA8" s="148">
        <f t="shared" si="2"/>
        <v>1</v>
      </c>
    </row>
    <row r="9" spans="1:55">
      <c r="A9">
        <v>111</v>
      </c>
      <c r="B9" t="s">
        <v>157</v>
      </c>
      <c r="C9" s="306"/>
      <c r="D9" s="306">
        <v>70</v>
      </c>
      <c r="E9" s="306">
        <v>52.5</v>
      </c>
      <c r="F9" s="306">
        <v>59</v>
      </c>
      <c r="G9" s="306">
        <v>61</v>
      </c>
      <c r="H9" s="306">
        <v>57.5</v>
      </c>
      <c r="I9" s="306">
        <v>45</v>
      </c>
      <c r="J9" s="306">
        <v>61</v>
      </c>
      <c r="K9" s="306">
        <v>36</v>
      </c>
      <c r="L9" s="306">
        <v>72</v>
      </c>
      <c r="M9" s="306">
        <v>57.5</v>
      </c>
      <c r="N9" s="306">
        <v>70</v>
      </c>
      <c r="O9" s="306">
        <v>69</v>
      </c>
      <c r="P9" s="306">
        <v>57</v>
      </c>
      <c r="Q9" s="306">
        <v>65</v>
      </c>
      <c r="R9" s="306">
        <v>62.5</v>
      </c>
      <c r="S9" s="306">
        <v>66</v>
      </c>
      <c r="T9" s="306">
        <v>72</v>
      </c>
      <c r="U9" s="306">
        <v>39</v>
      </c>
      <c r="V9" s="306">
        <v>72</v>
      </c>
      <c r="W9" s="306">
        <v>33.5</v>
      </c>
      <c r="X9" s="306">
        <v>40</v>
      </c>
      <c r="Y9" s="306">
        <v>28</v>
      </c>
      <c r="Z9" s="306">
        <v>37.5</v>
      </c>
      <c r="AA9" s="306">
        <v>64</v>
      </c>
      <c r="AB9" s="306">
        <v>79</v>
      </c>
      <c r="AC9" s="306">
        <v>63</v>
      </c>
      <c r="AD9" s="306">
        <v>62.5</v>
      </c>
      <c r="AE9" s="306"/>
      <c r="AF9" s="306">
        <v>64</v>
      </c>
      <c r="AG9" s="306">
        <v>35</v>
      </c>
      <c r="AH9" s="306">
        <v>65</v>
      </c>
      <c r="AI9" s="306">
        <v>78</v>
      </c>
      <c r="AJ9" s="306"/>
      <c r="AK9" s="306"/>
      <c r="AL9" s="306">
        <v>51.5</v>
      </c>
      <c r="AM9" s="306">
        <v>68</v>
      </c>
      <c r="AN9" s="306"/>
      <c r="AO9" s="306">
        <v>59</v>
      </c>
      <c r="AP9" s="306">
        <v>55</v>
      </c>
      <c r="AQ9" s="306"/>
      <c r="AR9" s="281">
        <v>42.5</v>
      </c>
      <c r="AS9" s="281"/>
      <c r="AT9" s="281"/>
      <c r="AU9" s="281">
        <v>70</v>
      </c>
      <c r="AV9" s="281">
        <v>72.5</v>
      </c>
      <c r="AW9" s="281">
        <v>67.5</v>
      </c>
      <c r="AX9" s="281"/>
      <c r="AY9" s="213">
        <f t="shared" si="1"/>
        <v>58.448717948717949</v>
      </c>
      <c r="AZ9" s="213">
        <f t="shared" si="0"/>
        <v>58.448717948717949</v>
      </c>
      <c r="BA9" s="148">
        <f t="shared" si="2"/>
        <v>4</v>
      </c>
    </row>
    <row r="10" spans="1:55">
      <c r="A10">
        <v>112</v>
      </c>
      <c r="B10" t="s">
        <v>158</v>
      </c>
      <c r="C10" s="306"/>
      <c r="D10" s="306">
        <v>60</v>
      </c>
      <c r="E10" s="306">
        <v>22.5</v>
      </c>
      <c r="F10" s="306">
        <v>55</v>
      </c>
      <c r="G10" s="306">
        <v>58</v>
      </c>
      <c r="H10" s="306">
        <v>37.5</v>
      </c>
      <c r="I10" s="306">
        <v>40</v>
      </c>
      <c r="J10" s="306">
        <v>54</v>
      </c>
      <c r="K10" s="306">
        <v>30</v>
      </c>
      <c r="L10" s="306">
        <v>58</v>
      </c>
      <c r="M10" s="306"/>
      <c r="N10" s="306">
        <v>55</v>
      </c>
      <c r="O10" s="306">
        <v>34</v>
      </c>
      <c r="P10" s="306">
        <v>52</v>
      </c>
      <c r="Q10" s="306">
        <v>60</v>
      </c>
      <c r="R10" s="306">
        <v>35.5</v>
      </c>
      <c r="S10" s="306">
        <v>64</v>
      </c>
      <c r="T10" s="306">
        <v>65</v>
      </c>
      <c r="U10" s="306">
        <v>32</v>
      </c>
      <c r="V10" s="306">
        <v>73</v>
      </c>
      <c r="W10" s="306">
        <v>25</v>
      </c>
      <c r="X10" s="306">
        <v>50</v>
      </c>
      <c r="Y10" s="306">
        <v>28</v>
      </c>
      <c r="Z10" s="306">
        <v>32.5</v>
      </c>
      <c r="AA10" s="306">
        <v>48</v>
      </c>
      <c r="AB10" s="306">
        <v>62</v>
      </c>
      <c r="AC10" s="306">
        <v>40</v>
      </c>
      <c r="AD10" s="306">
        <v>40</v>
      </c>
      <c r="AE10" s="306">
        <v>45</v>
      </c>
      <c r="AF10" s="306">
        <v>72</v>
      </c>
      <c r="AG10" s="306">
        <v>37.5</v>
      </c>
      <c r="AH10" s="306">
        <v>20</v>
      </c>
      <c r="AI10" s="306">
        <v>71</v>
      </c>
      <c r="AJ10" s="306">
        <v>53</v>
      </c>
      <c r="AK10" s="306"/>
      <c r="AL10" s="306">
        <v>36</v>
      </c>
      <c r="AM10" s="306">
        <v>41</v>
      </c>
      <c r="AN10" s="306"/>
      <c r="AO10" s="306">
        <v>65</v>
      </c>
      <c r="AP10" s="306">
        <v>48</v>
      </c>
      <c r="AQ10" s="306"/>
      <c r="AR10" s="281">
        <v>35</v>
      </c>
      <c r="AS10" s="281">
        <v>32.5</v>
      </c>
      <c r="AT10" s="281"/>
      <c r="AU10" s="281">
        <v>61</v>
      </c>
      <c r="AV10" s="281">
        <v>77.5</v>
      </c>
      <c r="AW10" s="281">
        <v>80</v>
      </c>
      <c r="AX10" s="281">
        <v>65</v>
      </c>
      <c r="AY10" s="213">
        <f t="shared" si="1"/>
        <v>48.821428571428569</v>
      </c>
      <c r="AZ10" s="213">
        <f t="shared" si="0"/>
        <v>48.821428571428569</v>
      </c>
      <c r="BA10" s="148">
        <f t="shared" si="2"/>
        <v>7</v>
      </c>
    </row>
    <row r="11" spans="1:55">
      <c r="A11">
        <v>113</v>
      </c>
      <c r="B11" t="s">
        <v>159</v>
      </c>
      <c r="C11" s="306"/>
      <c r="D11" s="306"/>
      <c r="E11" s="306"/>
      <c r="F11" s="306"/>
      <c r="G11" s="306">
        <v>42</v>
      </c>
      <c r="H11" s="306">
        <v>27.5</v>
      </c>
      <c r="I11" s="306"/>
      <c r="J11" s="306"/>
      <c r="K11" s="306">
        <v>32</v>
      </c>
      <c r="L11" s="306">
        <v>55</v>
      </c>
      <c r="M11" s="306">
        <v>24</v>
      </c>
      <c r="N11" s="306">
        <v>60</v>
      </c>
      <c r="O11" s="306">
        <v>28</v>
      </c>
      <c r="P11" s="306"/>
      <c r="Q11" s="306">
        <v>58</v>
      </c>
      <c r="R11" s="306">
        <v>24</v>
      </c>
      <c r="S11" s="306">
        <v>56</v>
      </c>
      <c r="T11" s="306">
        <v>43</v>
      </c>
      <c r="U11" s="306">
        <v>15</v>
      </c>
      <c r="V11" s="306">
        <v>68</v>
      </c>
      <c r="W11" s="306">
        <v>24.5</v>
      </c>
      <c r="X11" s="306">
        <v>45</v>
      </c>
      <c r="Y11" s="306">
        <v>25</v>
      </c>
      <c r="Z11" s="306">
        <v>25</v>
      </c>
      <c r="AA11" s="306">
        <v>45</v>
      </c>
      <c r="AB11" s="306">
        <v>63</v>
      </c>
      <c r="AC11" s="306">
        <v>43</v>
      </c>
      <c r="AD11" s="306">
        <v>25</v>
      </c>
      <c r="AE11" s="306">
        <v>25</v>
      </c>
      <c r="AF11" s="306">
        <v>59</v>
      </c>
      <c r="AG11" s="306">
        <v>12.5</v>
      </c>
      <c r="AH11" s="306">
        <v>35</v>
      </c>
      <c r="AI11" s="306">
        <v>67</v>
      </c>
      <c r="AJ11" s="306">
        <v>52</v>
      </c>
      <c r="AK11" s="306">
        <v>47</v>
      </c>
      <c r="AL11" s="306">
        <v>39.5</v>
      </c>
      <c r="AM11" s="306">
        <v>41</v>
      </c>
      <c r="AN11" s="306">
        <v>15</v>
      </c>
      <c r="AO11" s="306">
        <v>79</v>
      </c>
      <c r="AP11" s="306">
        <v>31</v>
      </c>
      <c r="AQ11" s="306">
        <v>50</v>
      </c>
      <c r="AR11" s="281">
        <v>40</v>
      </c>
      <c r="AS11" s="281">
        <v>15</v>
      </c>
      <c r="AT11" s="281"/>
      <c r="AU11" s="281"/>
      <c r="AV11" s="281"/>
      <c r="AW11" s="281">
        <v>40</v>
      </c>
      <c r="AX11" s="281">
        <v>65.5</v>
      </c>
      <c r="AY11" s="213">
        <f t="shared" si="1"/>
        <v>40.565789473684212</v>
      </c>
      <c r="AZ11" s="213">
        <f t="shared" si="0"/>
        <v>40.565789473684212</v>
      </c>
      <c r="BA11" s="148">
        <f t="shared" si="2"/>
        <v>8</v>
      </c>
    </row>
    <row r="12" spans="1:55">
      <c r="C12" s="34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349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</row>
    <row r="14" spans="1:55" ht="12.75" customHeight="1">
      <c r="C14" s="432"/>
      <c r="D14" s="432"/>
      <c r="E14" s="432"/>
      <c r="F14" s="431"/>
      <c r="G14" s="431"/>
      <c r="H14" s="431"/>
      <c r="I14" s="431"/>
      <c r="J14" s="431"/>
      <c r="K14" s="431"/>
      <c r="L14" s="431"/>
      <c r="M14" s="433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431"/>
      <c r="AM14" s="431"/>
      <c r="AN14" s="431"/>
      <c r="AO14" s="431"/>
      <c r="AP14" s="431"/>
      <c r="AQ14" s="431"/>
      <c r="AR14" s="432"/>
    </row>
    <row r="15" spans="1:55"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3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432"/>
      <c r="AM15" s="432"/>
      <c r="AN15" s="432"/>
      <c r="AO15" s="432"/>
      <c r="AP15" s="432"/>
      <c r="AQ15" s="432"/>
      <c r="AR15" s="432"/>
    </row>
    <row r="16" spans="1:55"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3"/>
      <c r="N16" s="432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432"/>
      <c r="AM16" s="432"/>
      <c r="AN16" s="432"/>
      <c r="AO16" s="432"/>
      <c r="AP16" s="432"/>
      <c r="AQ16" s="432"/>
      <c r="AR16" s="432"/>
    </row>
    <row r="17" spans="3:44">
      <c r="C17" s="432"/>
      <c r="D17" s="432"/>
      <c r="E17" s="432"/>
      <c r="F17" s="432"/>
      <c r="G17" s="432"/>
      <c r="H17" s="432"/>
      <c r="I17" s="432"/>
      <c r="J17" s="432"/>
      <c r="K17" s="432"/>
      <c r="L17" s="432"/>
      <c r="M17" s="433"/>
      <c r="N17" s="432"/>
      <c r="O17" s="432"/>
      <c r="P17" s="432"/>
      <c r="Q17" s="432"/>
      <c r="R17" s="432"/>
      <c r="S17" s="432"/>
      <c r="T17" s="432"/>
      <c r="U17" s="432"/>
      <c r="V17" s="432"/>
      <c r="W17" s="432"/>
      <c r="X17" s="432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432"/>
      <c r="AM17" s="432"/>
      <c r="AN17" s="432"/>
      <c r="AO17" s="432"/>
      <c r="AP17" s="432"/>
      <c r="AQ17" s="432"/>
      <c r="AR17" s="432"/>
    </row>
    <row r="18" spans="3:44"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3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432"/>
      <c r="AM18" s="432"/>
      <c r="AN18" s="432"/>
      <c r="AO18" s="432"/>
      <c r="AP18" s="432"/>
      <c r="AQ18" s="432"/>
      <c r="AR18" s="432"/>
    </row>
    <row r="19" spans="3:44">
      <c r="C19" s="432"/>
      <c r="D19" s="432"/>
      <c r="E19" s="432"/>
      <c r="F19" s="432"/>
      <c r="G19" s="432"/>
      <c r="H19" s="432"/>
      <c r="I19" s="432"/>
      <c r="J19" s="432"/>
      <c r="K19" s="432"/>
      <c r="L19" s="432"/>
      <c r="M19" s="433"/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2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432"/>
      <c r="AM19" s="432"/>
      <c r="AN19" s="432"/>
      <c r="AO19" s="432"/>
      <c r="AP19" s="432"/>
      <c r="AQ19" s="432"/>
      <c r="AR19" s="432"/>
    </row>
    <row r="20" spans="3:44"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3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432"/>
      <c r="AM20" s="432"/>
      <c r="AN20" s="432"/>
      <c r="AO20" s="432"/>
      <c r="AP20" s="432"/>
      <c r="AQ20" s="432"/>
      <c r="AR20" s="432"/>
    </row>
    <row r="21" spans="3:44">
      <c r="C21" s="432"/>
      <c r="D21" s="432"/>
      <c r="E21" s="432"/>
      <c r="F21" s="432"/>
      <c r="G21" s="432"/>
      <c r="H21" s="432"/>
      <c r="I21" s="432"/>
      <c r="J21" s="432"/>
      <c r="K21" s="432"/>
      <c r="L21" s="432"/>
      <c r="M21" s="433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432"/>
      <c r="AM21" s="432"/>
      <c r="AN21" s="432"/>
      <c r="AO21" s="432"/>
      <c r="AP21" s="432"/>
      <c r="AQ21" s="432"/>
      <c r="AR21" s="432"/>
    </row>
    <row r="22" spans="3:44">
      <c r="C22" s="432"/>
      <c r="D22" s="432"/>
      <c r="E22" s="432"/>
      <c r="F22" s="432"/>
      <c r="G22" s="432"/>
      <c r="H22" s="432"/>
      <c r="I22" s="432"/>
      <c r="J22" s="432"/>
      <c r="K22" s="432"/>
      <c r="L22" s="432"/>
      <c r="M22" s="433"/>
      <c r="N22" s="432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432"/>
      <c r="AM22" s="432"/>
      <c r="AN22" s="432"/>
      <c r="AO22" s="432"/>
      <c r="AP22" s="432"/>
      <c r="AQ22" s="432"/>
      <c r="AR22" s="432"/>
    </row>
    <row r="23" spans="3:44"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3"/>
      <c r="N23" s="432"/>
      <c r="O23" s="432"/>
      <c r="P23" s="432"/>
      <c r="Q23" s="432"/>
      <c r="R23" s="432"/>
      <c r="S23" s="432"/>
      <c r="T23" s="432"/>
      <c r="U23" s="432"/>
      <c r="V23" s="432"/>
      <c r="W23" s="432"/>
      <c r="X23" s="432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432"/>
      <c r="AM23" s="432"/>
      <c r="AN23" s="432"/>
      <c r="AO23" s="432"/>
      <c r="AP23" s="432"/>
      <c r="AQ23" s="432"/>
      <c r="AR23" s="432"/>
    </row>
    <row r="24" spans="3:44"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3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432"/>
      <c r="AM24" s="432"/>
      <c r="AN24" s="432"/>
      <c r="AO24" s="432"/>
      <c r="AP24" s="432"/>
      <c r="AQ24" s="432"/>
      <c r="AR24" s="432"/>
    </row>
  </sheetData>
  <mergeCells count="29">
    <mergeCell ref="N14:N24"/>
    <mergeCell ref="C14:C24"/>
    <mergeCell ref="D14:D24"/>
    <mergeCell ref="E14:E24"/>
    <mergeCell ref="F14:F24"/>
    <mergeCell ref="G14:G24"/>
    <mergeCell ref="H14:H24"/>
    <mergeCell ref="I14:I24"/>
    <mergeCell ref="J14:J24"/>
    <mergeCell ref="K14:K24"/>
    <mergeCell ref="L14:L24"/>
    <mergeCell ref="M14:M24"/>
    <mergeCell ref="AM14:AM24"/>
    <mergeCell ref="O14:O24"/>
    <mergeCell ref="P14:P24"/>
    <mergeCell ref="Q14:Q24"/>
    <mergeCell ref="R14:R24"/>
    <mergeCell ref="S14:S24"/>
    <mergeCell ref="T14:T24"/>
    <mergeCell ref="U14:U24"/>
    <mergeCell ref="V14:V24"/>
    <mergeCell ref="W14:W24"/>
    <mergeCell ref="X14:X24"/>
    <mergeCell ref="AL14:AL24"/>
    <mergeCell ref="AN14:AN24"/>
    <mergeCell ref="AO14:AO24"/>
    <mergeCell ref="AP14:AP24"/>
    <mergeCell ref="AQ14:AQ24"/>
    <mergeCell ref="AR14:AR24"/>
  </mergeCells>
  <phoneticPr fontId="19" type="noConversion"/>
  <printOptions gridLines="1"/>
  <pageMargins left="0.21" right="0.2" top="1" bottom="1" header="0.5" footer="0.5"/>
  <pageSetup scale="49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60"/>
  <sheetViews>
    <sheetView zoomScaleNormal="100" workbookViewId="0"/>
  </sheetViews>
  <sheetFormatPr defaultColWidth="8.85546875" defaultRowHeight="12.75"/>
  <cols>
    <col min="2" max="2" width="50.140625" customWidth="1"/>
    <col min="3" max="3" width="9.5703125" customWidth="1"/>
    <col min="4" max="4" width="10" customWidth="1"/>
    <col min="5" max="6" width="11.42578125" customWidth="1"/>
    <col min="7" max="7" width="14.42578125" customWidth="1"/>
    <col min="8" max="8" width="12.5703125" customWidth="1"/>
    <col min="9" max="9" width="12.42578125" customWidth="1"/>
    <col min="10" max="10" width="11" customWidth="1"/>
  </cols>
  <sheetData>
    <row r="1" spans="1:11" ht="18.75">
      <c r="B1" s="261" t="s">
        <v>200</v>
      </c>
      <c r="C1" s="8"/>
      <c r="D1" s="6"/>
      <c r="E1" s="9"/>
      <c r="F1" s="58"/>
      <c r="G1" s="151"/>
      <c r="H1" s="6"/>
      <c r="I1" s="6"/>
    </row>
    <row r="2" spans="1:11" s="56" customFormat="1" ht="12.75" customHeight="1">
      <c r="B2" s="151"/>
      <c r="C2" s="151"/>
      <c r="D2" s="151"/>
      <c r="E2" s="282" t="s">
        <v>14</v>
      </c>
      <c r="F2" s="283">
        <f>MIN(E5:E12)</f>
        <v>14.9</v>
      </c>
      <c r="G2" s="151" t="s">
        <v>15</v>
      </c>
      <c r="H2" s="151"/>
      <c r="I2" s="151"/>
    </row>
    <row r="3" spans="1:11">
      <c r="B3" s="145"/>
      <c r="C3" s="11"/>
      <c r="D3" s="12"/>
      <c r="E3" s="136" t="s">
        <v>62</v>
      </c>
      <c r="F3" s="283">
        <f>MAX(E6:E12)</f>
        <v>23.5</v>
      </c>
      <c r="G3" s="151" t="s">
        <v>15</v>
      </c>
      <c r="H3" s="6"/>
    </row>
    <row r="4" spans="1:11" ht="27" customHeight="1">
      <c r="B4" s="10"/>
      <c r="C4" s="34" t="s">
        <v>27</v>
      </c>
      <c r="D4" s="34" t="s">
        <v>28</v>
      </c>
      <c r="E4" s="34" t="s">
        <v>31</v>
      </c>
      <c r="F4" s="31" t="s">
        <v>8</v>
      </c>
      <c r="G4" s="5" t="s">
        <v>23</v>
      </c>
      <c r="H4" s="315"/>
      <c r="I4" s="315"/>
      <c r="J4" s="316"/>
      <c r="K4" s="5"/>
    </row>
    <row r="5" spans="1:11" ht="15">
      <c r="A5">
        <v>101</v>
      </c>
      <c r="B5" t="s">
        <v>152</v>
      </c>
      <c r="C5" s="351">
        <v>16.37</v>
      </c>
      <c r="D5" s="351">
        <v>15.96</v>
      </c>
      <c r="E5" s="153">
        <f>MIN(C5:D5)</f>
        <v>15.96</v>
      </c>
      <c r="F5" s="154">
        <f>IF(E5&gt;=30,2.5,(-$E$16*E5+$E$17))</f>
        <v>43.837209302325562</v>
      </c>
      <c r="G5" s="5">
        <f>RANK(F5,$F$5:$F$112)</f>
        <v>2</v>
      </c>
      <c r="H5" s="317"/>
      <c r="I5" s="318"/>
      <c r="J5" s="319"/>
      <c r="K5" s="5"/>
    </row>
    <row r="6" spans="1:11" ht="15">
      <c r="A6">
        <v>102</v>
      </c>
      <c r="B6" t="s">
        <v>153</v>
      </c>
      <c r="C6" s="351" t="s">
        <v>141</v>
      </c>
      <c r="D6" s="351" t="s">
        <v>141</v>
      </c>
      <c r="E6" s="153" t="s">
        <v>37</v>
      </c>
      <c r="F6" s="154">
        <v>0</v>
      </c>
      <c r="G6" s="5" t="s">
        <v>37</v>
      </c>
      <c r="H6" s="317"/>
      <c r="I6" s="318"/>
      <c r="J6" s="319"/>
      <c r="K6" s="5"/>
    </row>
    <row r="7" spans="1:11" ht="15">
      <c r="A7">
        <v>103</v>
      </c>
      <c r="B7" t="s">
        <v>154</v>
      </c>
      <c r="C7" s="351">
        <v>15.36</v>
      </c>
      <c r="D7" s="351">
        <v>14.9</v>
      </c>
      <c r="E7" s="153">
        <f>MIN(C7:D7)</f>
        <v>14.9</v>
      </c>
      <c r="F7" s="154">
        <f t="shared" ref="F7:F12" si="0">IF(E7&gt;=30,2.5,(-$E$16*E7+$E$17))</f>
        <v>49.999999999999986</v>
      </c>
      <c r="G7" s="5">
        <f t="shared" ref="G7:G12" si="1">RANK(F7,$F$5:$F$112)</f>
        <v>1</v>
      </c>
      <c r="H7" s="317"/>
      <c r="I7" s="318"/>
      <c r="J7" s="319"/>
      <c r="K7" s="5"/>
    </row>
    <row r="8" spans="1:11" ht="15">
      <c r="A8">
        <v>104</v>
      </c>
      <c r="B8" t="s">
        <v>155</v>
      </c>
      <c r="C8" s="351" t="s">
        <v>141</v>
      </c>
      <c r="D8" s="351" t="s">
        <v>141</v>
      </c>
      <c r="E8" s="153" t="s">
        <v>37</v>
      </c>
      <c r="F8" s="154">
        <v>0</v>
      </c>
      <c r="G8" s="5" t="s">
        <v>37</v>
      </c>
      <c r="H8" s="317"/>
      <c r="I8" s="320"/>
      <c r="J8" s="319"/>
      <c r="K8" s="5"/>
    </row>
    <row r="9" spans="1:11" ht="15">
      <c r="A9">
        <v>105</v>
      </c>
      <c r="B9" t="s">
        <v>156</v>
      </c>
      <c r="C9" s="351" t="s">
        <v>141</v>
      </c>
      <c r="D9" s="351" t="s">
        <v>141</v>
      </c>
      <c r="E9" s="153" t="s">
        <v>37</v>
      </c>
      <c r="F9" s="154">
        <v>0</v>
      </c>
      <c r="G9" s="5" t="s">
        <v>37</v>
      </c>
      <c r="H9" s="317"/>
      <c r="I9" s="318"/>
      <c r="J9" s="319"/>
      <c r="K9" s="5"/>
    </row>
    <row r="10" spans="1:11" ht="15">
      <c r="A10">
        <v>111</v>
      </c>
      <c r="B10" t="s">
        <v>157</v>
      </c>
      <c r="C10" s="351" t="s">
        <v>141</v>
      </c>
      <c r="D10" s="351" t="s">
        <v>141</v>
      </c>
      <c r="E10" s="153" t="s">
        <v>37</v>
      </c>
      <c r="F10" s="154">
        <v>0</v>
      </c>
      <c r="G10" s="5" t="s">
        <v>37</v>
      </c>
      <c r="H10" s="317"/>
      <c r="I10" s="318"/>
      <c r="J10" s="319"/>
      <c r="K10" s="5"/>
    </row>
    <row r="11" spans="1:11" ht="15">
      <c r="A11">
        <v>112</v>
      </c>
      <c r="B11" t="s">
        <v>158</v>
      </c>
      <c r="C11" s="351" t="s">
        <v>141</v>
      </c>
      <c r="D11" s="351" t="s">
        <v>141</v>
      </c>
      <c r="E11" s="153" t="s">
        <v>37</v>
      </c>
      <c r="F11" s="154">
        <v>0</v>
      </c>
      <c r="G11" s="5" t="s">
        <v>37</v>
      </c>
      <c r="H11" s="317"/>
      <c r="I11" s="318"/>
      <c r="J11" s="319"/>
      <c r="K11" s="5"/>
    </row>
    <row r="12" spans="1:11" ht="15">
      <c r="A12">
        <v>113</v>
      </c>
      <c r="B12" t="s">
        <v>159</v>
      </c>
      <c r="C12" s="351">
        <v>23.5</v>
      </c>
      <c r="D12" s="351">
        <v>28.7</v>
      </c>
      <c r="E12" s="153">
        <f t="shared" ref="E12" si="2">MIN(C12:D12)</f>
        <v>23.5</v>
      </c>
      <c r="F12" s="154">
        <f t="shared" si="0"/>
        <v>0</v>
      </c>
      <c r="G12" s="5">
        <f t="shared" si="1"/>
        <v>3</v>
      </c>
      <c r="H12" s="317"/>
      <c r="I12" s="318"/>
      <c r="J12" s="319"/>
      <c r="K12" s="5"/>
    </row>
    <row r="13" spans="1:11">
      <c r="B13" s="23"/>
      <c r="C13" s="48"/>
      <c r="D13" s="48"/>
      <c r="E13" s="48"/>
      <c r="F13" s="17"/>
      <c r="G13" s="17"/>
      <c r="H13" s="321"/>
      <c r="I13" s="60"/>
      <c r="J13" s="319"/>
      <c r="K13" s="5"/>
    </row>
    <row r="14" spans="1:11">
      <c r="B14" s="23"/>
      <c r="C14" s="48"/>
      <c r="D14" s="107"/>
      <c r="E14" s="48"/>
      <c r="F14" s="17"/>
      <c r="G14" s="17"/>
      <c r="H14" s="63"/>
      <c r="I14" s="52"/>
    </row>
    <row r="15" spans="1:11">
      <c r="B15" s="23"/>
      <c r="C15" s="48"/>
      <c r="D15" s="160" t="s">
        <v>101</v>
      </c>
      <c r="E15" s="48"/>
      <c r="F15" s="17"/>
      <c r="G15" s="17"/>
      <c r="H15" s="17"/>
      <c r="I15" s="3"/>
    </row>
    <row r="16" spans="1:11">
      <c r="B16" s="23"/>
      <c r="C16" s="48"/>
      <c r="D16" s="200" t="s">
        <v>98</v>
      </c>
      <c r="E16" s="198">
        <f>50/(F3-F2)</f>
        <v>5.8139534883720936</v>
      </c>
      <c r="F16" s="17"/>
      <c r="G16" s="17"/>
      <c r="H16" s="17"/>
      <c r="I16" s="3"/>
    </row>
    <row r="17" spans="2:9">
      <c r="B17" s="23"/>
      <c r="C17" s="48"/>
      <c r="D17" s="200" t="s">
        <v>99</v>
      </c>
      <c r="E17" s="199">
        <f>E16*F3</f>
        <v>136.62790697674419</v>
      </c>
      <c r="F17" s="17"/>
      <c r="G17" s="17"/>
      <c r="H17" s="17"/>
      <c r="I17" s="3"/>
    </row>
    <row r="18" spans="2:9">
      <c r="B18" s="23"/>
      <c r="C18" s="109"/>
      <c r="D18" s="160"/>
      <c r="E18" s="48"/>
      <c r="F18" s="17"/>
      <c r="G18" s="17"/>
      <c r="H18" s="17"/>
      <c r="I18" s="3"/>
    </row>
    <row r="19" spans="2:9">
      <c r="B19" s="23"/>
      <c r="C19" s="48"/>
      <c r="D19" s="48"/>
      <c r="E19" s="48"/>
      <c r="F19" s="17"/>
      <c r="G19" s="17"/>
      <c r="H19" s="17"/>
      <c r="I19" s="3"/>
    </row>
    <row r="20" spans="2:9">
      <c r="B20" s="23"/>
      <c r="C20" s="48"/>
      <c r="D20" s="48"/>
      <c r="E20" s="48"/>
      <c r="F20" s="17"/>
      <c r="G20" s="17"/>
      <c r="H20" s="17"/>
      <c r="I20" s="3"/>
    </row>
    <row r="21" spans="2:9">
      <c r="B21" s="12"/>
      <c r="C21" s="48"/>
      <c r="D21" s="48"/>
      <c r="E21" s="48"/>
      <c r="F21" s="17"/>
      <c r="G21" s="17"/>
      <c r="H21" s="17"/>
      <c r="I21" s="6"/>
    </row>
    <row r="22" spans="2:9">
      <c r="B22" s="12"/>
      <c r="C22" s="48"/>
      <c r="D22" s="48"/>
      <c r="E22" s="48"/>
      <c r="F22" s="17"/>
      <c r="G22" s="17"/>
      <c r="H22" s="17"/>
      <c r="I22" s="6"/>
    </row>
    <row r="23" spans="2:9">
      <c r="B23" s="12"/>
      <c r="C23" s="48"/>
      <c r="D23" s="48"/>
      <c r="E23" s="48"/>
      <c r="F23" s="17"/>
      <c r="G23" s="17"/>
      <c r="H23" s="17"/>
      <c r="I23" s="6"/>
    </row>
    <row r="24" spans="2:9">
      <c r="B24" s="43"/>
      <c r="C24" s="12"/>
      <c r="D24" s="12"/>
      <c r="E24" s="12"/>
      <c r="F24" s="6"/>
      <c r="G24" s="6"/>
      <c r="H24" s="6"/>
      <c r="I24" s="6"/>
    </row>
    <row r="25" spans="2:9">
      <c r="C25" s="4"/>
      <c r="D25" s="4"/>
      <c r="E25" s="4"/>
    </row>
    <row r="26" spans="2:9">
      <c r="C26" s="4"/>
      <c r="D26" s="4"/>
      <c r="E26" s="4"/>
    </row>
    <row r="27" spans="2:9">
      <c r="C27" s="4"/>
      <c r="D27" s="4"/>
      <c r="E27" s="4"/>
    </row>
    <row r="28" spans="2:9">
      <c r="C28" s="4"/>
      <c r="D28" s="4"/>
      <c r="E28" s="4"/>
    </row>
    <row r="29" spans="2:9">
      <c r="C29" s="4"/>
      <c r="D29" s="4"/>
      <c r="E29" s="4"/>
    </row>
    <row r="30" spans="2:9">
      <c r="C30" s="4"/>
      <c r="D30" s="4"/>
      <c r="E30" s="4"/>
    </row>
    <row r="31" spans="2:9">
      <c r="C31" s="4"/>
      <c r="D31" s="4"/>
      <c r="E31" s="4"/>
    </row>
    <row r="32" spans="2:9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</sheetData>
  <phoneticPr fontId="19" type="noConversion"/>
  <printOptions gridLines="1"/>
  <pageMargins left="0.75" right="0.75" top="0.5" bottom="0.5" header="0.5" footer="0.5"/>
  <pageSetup scale="87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1"/>
  <sheetViews>
    <sheetView topLeftCell="A2" zoomScaleNormal="100" zoomScalePageLayoutView="125" workbookViewId="0"/>
  </sheetViews>
  <sheetFormatPr defaultColWidth="20.28515625" defaultRowHeight="12.75"/>
  <cols>
    <col min="2" max="2" width="13.85546875" customWidth="1"/>
    <col min="3" max="3" width="10.7109375" customWidth="1"/>
    <col min="4" max="4" width="8.5703125" customWidth="1"/>
    <col min="5" max="5" width="12.5703125" customWidth="1"/>
    <col min="6" max="6" width="12.85546875" customWidth="1"/>
    <col min="7" max="7" width="9.85546875" customWidth="1"/>
    <col min="8" max="8" width="15.28515625" customWidth="1"/>
    <col min="9" max="9" width="2.42578125" customWidth="1"/>
    <col min="10" max="10" width="12" customWidth="1"/>
    <col min="11" max="11" width="11.85546875" customWidth="1"/>
    <col min="12" max="12" width="8.5703125" style="3" customWidth="1"/>
    <col min="13" max="13" width="1" customWidth="1"/>
    <col min="14" max="14" width="8.140625" customWidth="1"/>
    <col min="15" max="15" width="6.42578125" customWidth="1"/>
    <col min="16" max="16" width="8.42578125" style="3" customWidth="1"/>
    <col min="17" max="17" width="9.5703125" customWidth="1"/>
  </cols>
  <sheetData>
    <row r="1" spans="1:17">
      <c r="A1" t="s">
        <v>173</v>
      </c>
      <c r="J1" s="3"/>
      <c r="K1" s="3"/>
      <c r="N1" s="3"/>
      <c r="O1" s="3"/>
    </row>
    <row r="2" spans="1:17">
      <c r="J2" s="3"/>
      <c r="K2" s="3"/>
      <c r="N2" s="3"/>
      <c r="O2" s="3"/>
    </row>
    <row r="3" spans="1:17" ht="51">
      <c r="A3" s="113" t="s">
        <v>174</v>
      </c>
      <c r="B3" s="384" t="s">
        <v>175</v>
      </c>
      <c r="C3" s="384" t="s">
        <v>72</v>
      </c>
      <c r="D3" s="384" t="s">
        <v>176</v>
      </c>
      <c r="E3" s="384" t="s">
        <v>177</v>
      </c>
      <c r="F3" s="384" t="s">
        <v>178</v>
      </c>
      <c r="G3" s="384" t="s">
        <v>179</v>
      </c>
      <c r="H3" s="384" t="s">
        <v>73</v>
      </c>
      <c r="I3" s="384"/>
      <c r="J3" s="385" t="s">
        <v>180</v>
      </c>
      <c r="K3" s="385" t="s">
        <v>74</v>
      </c>
      <c r="L3" s="385" t="s">
        <v>199</v>
      </c>
      <c r="M3" s="384"/>
      <c r="N3" s="385" t="s">
        <v>75</v>
      </c>
      <c r="O3" s="385" t="s">
        <v>81</v>
      </c>
      <c r="P3" s="385" t="s">
        <v>67</v>
      </c>
      <c r="Q3" s="268"/>
    </row>
    <row r="4" spans="1:17">
      <c r="A4" t="s">
        <v>181</v>
      </c>
      <c r="B4" s="268" t="s">
        <v>135</v>
      </c>
      <c r="C4" s="268" t="s">
        <v>135</v>
      </c>
      <c r="D4" s="268" t="s">
        <v>135</v>
      </c>
      <c r="E4" s="268" t="s">
        <v>135</v>
      </c>
      <c r="F4" s="268" t="s">
        <v>135</v>
      </c>
      <c r="G4" s="268" t="s">
        <v>148</v>
      </c>
      <c r="H4" s="268" t="s">
        <v>148</v>
      </c>
      <c r="I4" s="268"/>
      <c r="J4" s="348">
        <v>206.82</v>
      </c>
      <c r="K4" s="348">
        <v>20</v>
      </c>
      <c r="L4" s="348">
        <v>4</v>
      </c>
      <c r="M4" s="268"/>
      <c r="N4" s="348">
        <v>236.16</v>
      </c>
      <c r="O4" s="348">
        <v>50</v>
      </c>
      <c r="P4" s="348">
        <v>1</v>
      </c>
      <c r="Q4" s="348">
        <f>K4+O4</f>
        <v>70</v>
      </c>
    </row>
    <row r="5" spans="1:17">
      <c r="A5" t="s">
        <v>182</v>
      </c>
      <c r="B5" s="268" t="s">
        <v>135</v>
      </c>
      <c r="C5" s="268" t="s">
        <v>135</v>
      </c>
      <c r="D5" s="268" t="s">
        <v>135</v>
      </c>
      <c r="E5" s="268" t="s">
        <v>135</v>
      </c>
      <c r="F5" s="268" t="s">
        <v>135</v>
      </c>
      <c r="G5" s="268" t="s">
        <v>148</v>
      </c>
      <c r="H5" s="268" t="s">
        <v>148</v>
      </c>
      <c r="I5" s="268"/>
      <c r="J5" s="348">
        <v>205.57</v>
      </c>
      <c r="K5" s="348">
        <v>20</v>
      </c>
      <c r="L5" s="348">
        <v>3</v>
      </c>
      <c r="M5" s="268"/>
      <c r="N5" s="348">
        <v>350.98</v>
      </c>
      <c r="O5" s="348">
        <v>2.5</v>
      </c>
      <c r="P5" s="348">
        <v>4</v>
      </c>
      <c r="Q5" s="348">
        <f t="shared" ref="Q5:Q8" si="0">K5+O5</f>
        <v>22.5</v>
      </c>
    </row>
    <row r="6" spans="1:17" s="332" customFormat="1">
      <c r="A6" s="332" t="s">
        <v>183</v>
      </c>
      <c r="B6" s="386" t="s">
        <v>135</v>
      </c>
      <c r="C6" s="386" t="s">
        <v>135</v>
      </c>
      <c r="D6" s="386" t="s">
        <v>135</v>
      </c>
      <c r="E6" s="386" t="s">
        <v>135</v>
      </c>
      <c r="F6" s="386" t="s">
        <v>135</v>
      </c>
      <c r="G6" s="386" t="s">
        <v>135</v>
      </c>
      <c r="H6" s="386" t="s">
        <v>135</v>
      </c>
      <c r="I6" s="386"/>
      <c r="J6" s="387">
        <v>205.77</v>
      </c>
      <c r="K6" s="387">
        <v>284.89</v>
      </c>
      <c r="L6" s="387">
        <v>1</v>
      </c>
      <c r="M6" s="386"/>
      <c r="N6" s="387">
        <v>305.05</v>
      </c>
      <c r="O6" s="387">
        <v>21.5</v>
      </c>
      <c r="P6" s="387">
        <v>2</v>
      </c>
      <c r="Q6" s="387">
        <f t="shared" si="0"/>
        <v>306.39</v>
      </c>
    </row>
    <row r="7" spans="1:17">
      <c r="A7" t="s">
        <v>184</v>
      </c>
      <c r="B7" s="268" t="s">
        <v>185</v>
      </c>
      <c r="C7" s="268"/>
      <c r="D7" s="268"/>
      <c r="E7" s="268"/>
      <c r="F7" s="268"/>
      <c r="G7" s="268"/>
      <c r="H7" s="268"/>
      <c r="I7" s="268"/>
      <c r="J7" s="348"/>
      <c r="K7" s="348"/>
      <c r="L7" s="348"/>
      <c r="M7" s="268"/>
      <c r="N7" s="348"/>
      <c r="O7" s="348"/>
      <c r="P7" s="348"/>
      <c r="Q7" s="348">
        <f t="shared" si="0"/>
        <v>0</v>
      </c>
    </row>
    <row r="8" spans="1:17" s="332" customFormat="1">
      <c r="A8" s="332" t="s">
        <v>186</v>
      </c>
      <c r="B8" s="386" t="s">
        <v>135</v>
      </c>
      <c r="C8" s="386" t="s">
        <v>135</v>
      </c>
      <c r="D8" s="386" t="s">
        <v>135</v>
      </c>
      <c r="E8" s="386" t="s">
        <v>135</v>
      </c>
      <c r="F8" s="386" t="s">
        <v>135</v>
      </c>
      <c r="G8" s="386" t="s">
        <v>135</v>
      </c>
      <c r="H8" s="386" t="s">
        <v>135</v>
      </c>
      <c r="I8" s="386"/>
      <c r="J8" s="387">
        <v>202.58</v>
      </c>
      <c r="K8" s="387">
        <v>273.5</v>
      </c>
      <c r="L8" s="387">
        <v>2</v>
      </c>
      <c r="M8" s="386"/>
      <c r="N8" s="387">
        <v>329.3</v>
      </c>
      <c r="O8" s="387">
        <v>11.47</v>
      </c>
      <c r="P8" s="387">
        <v>3</v>
      </c>
      <c r="Q8" s="387">
        <f t="shared" si="0"/>
        <v>284.97000000000003</v>
      </c>
    </row>
    <row r="9" spans="1:17">
      <c r="A9" t="s">
        <v>187</v>
      </c>
      <c r="B9" s="268" t="s">
        <v>188</v>
      </c>
      <c r="C9" s="268"/>
      <c r="D9" s="268"/>
      <c r="E9" s="268"/>
      <c r="F9" s="268"/>
      <c r="G9" s="268"/>
      <c r="H9" s="268"/>
      <c r="I9" s="268"/>
      <c r="J9" s="348"/>
      <c r="K9" s="348"/>
      <c r="L9" s="348"/>
      <c r="M9" s="268"/>
      <c r="N9" s="348"/>
      <c r="O9" s="348"/>
      <c r="P9" s="348"/>
      <c r="Q9" s="348">
        <v>0</v>
      </c>
    </row>
    <row r="10" spans="1:17">
      <c r="A10" t="s">
        <v>189</v>
      </c>
      <c r="B10" s="268" t="s">
        <v>188</v>
      </c>
      <c r="C10" s="268"/>
      <c r="D10" s="268"/>
      <c r="E10" s="268"/>
      <c r="F10" s="268"/>
      <c r="G10" s="268"/>
      <c r="H10" s="268"/>
      <c r="I10" s="268"/>
      <c r="J10" s="348"/>
      <c r="K10" s="348"/>
      <c r="L10" s="348"/>
      <c r="M10" s="268"/>
      <c r="N10" s="348"/>
      <c r="O10" s="348"/>
      <c r="P10" s="348"/>
      <c r="Q10" s="348">
        <v>0</v>
      </c>
    </row>
    <row r="11" spans="1:17">
      <c r="A11" t="s">
        <v>190</v>
      </c>
      <c r="B11" s="268" t="s">
        <v>185</v>
      </c>
      <c r="C11" s="268"/>
      <c r="D11" s="268"/>
      <c r="E11" s="268"/>
      <c r="F11" s="268"/>
      <c r="G11" s="268"/>
      <c r="H11" s="268"/>
      <c r="I11" s="268"/>
      <c r="J11" s="348"/>
      <c r="K11" s="348"/>
      <c r="L11" s="348"/>
      <c r="M11" s="268"/>
      <c r="N11" s="348"/>
      <c r="O11" s="348"/>
      <c r="P11" s="348"/>
      <c r="Q11" s="348">
        <v>0</v>
      </c>
    </row>
    <row r="12" spans="1:17">
      <c r="B12" s="268"/>
      <c r="C12" s="268"/>
      <c r="D12" s="268"/>
      <c r="E12" s="268"/>
      <c r="F12" s="268"/>
      <c r="G12" s="268"/>
      <c r="H12" s="268"/>
      <c r="I12" s="268"/>
      <c r="J12" s="348"/>
      <c r="K12" s="348"/>
      <c r="L12" s="348"/>
      <c r="M12" s="268"/>
      <c r="N12" s="348"/>
      <c r="O12" s="348"/>
      <c r="P12" s="348"/>
      <c r="Q12" s="268"/>
    </row>
    <row r="13" spans="1:17">
      <c r="A13" t="s">
        <v>191</v>
      </c>
      <c r="B13" s="268" t="s">
        <v>192</v>
      </c>
      <c r="C13" s="268">
        <v>202.58</v>
      </c>
      <c r="D13" s="268"/>
      <c r="E13" s="268"/>
      <c r="F13" s="268"/>
      <c r="G13" s="268"/>
      <c r="H13" s="268"/>
      <c r="I13" s="268"/>
      <c r="J13" s="348"/>
      <c r="K13" s="348"/>
      <c r="L13" s="348"/>
      <c r="M13" s="268"/>
      <c r="N13" s="348"/>
      <c r="O13" s="348"/>
      <c r="P13" s="348"/>
      <c r="Q13" s="268"/>
    </row>
    <row r="14" spans="1:17">
      <c r="A14" t="s">
        <v>193</v>
      </c>
      <c r="B14" s="268" t="s">
        <v>192</v>
      </c>
      <c r="C14" s="268">
        <v>205.77</v>
      </c>
      <c r="D14" s="268"/>
      <c r="E14" s="268"/>
      <c r="F14" s="268"/>
      <c r="G14" s="268"/>
      <c r="H14" s="268"/>
      <c r="I14" s="268"/>
      <c r="J14" s="348"/>
      <c r="K14" s="348"/>
      <c r="L14" s="348"/>
      <c r="M14" s="268"/>
      <c r="N14" s="348"/>
      <c r="O14" s="348"/>
      <c r="P14" s="348"/>
      <c r="Q14" s="268"/>
    </row>
    <row r="15" spans="1:17">
      <c r="B15" s="268"/>
      <c r="C15" s="268"/>
      <c r="D15" s="268"/>
      <c r="E15" s="268"/>
      <c r="F15" s="268"/>
      <c r="G15" s="268"/>
      <c r="H15" s="268"/>
      <c r="I15" s="268"/>
      <c r="J15" s="348"/>
      <c r="K15" s="348"/>
      <c r="L15" s="348"/>
      <c r="M15" s="268"/>
      <c r="N15" s="348"/>
      <c r="O15" s="348"/>
      <c r="P15" s="348"/>
      <c r="Q15" s="268"/>
    </row>
    <row r="16" spans="1:17">
      <c r="A16" t="s">
        <v>194</v>
      </c>
      <c r="B16" s="268" t="s">
        <v>195</v>
      </c>
      <c r="C16" s="268">
        <v>236.16</v>
      </c>
      <c r="D16" s="268"/>
      <c r="E16" s="268"/>
      <c r="F16" s="268"/>
      <c r="G16" s="268"/>
      <c r="H16" s="268"/>
      <c r="I16" s="268"/>
      <c r="J16" s="348"/>
      <c r="K16" s="348"/>
      <c r="L16" s="348"/>
      <c r="M16" s="268"/>
      <c r="N16" s="348"/>
      <c r="O16" s="348"/>
      <c r="P16" s="348"/>
      <c r="Q16" s="268"/>
    </row>
    <row r="17" spans="1:17">
      <c r="A17" t="s">
        <v>196</v>
      </c>
      <c r="B17" s="268" t="s">
        <v>195</v>
      </c>
      <c r="C17" s="268">
        <v>350.98</v>
      </c>
      <c r="D17" s="268"/>
      <c r="E17" s="268"/>
      <c r="F17" s="268"/>
      <c r="G17" s="268"/>
      <c r="H17" s="268"/>
      <c r="I17" s="268"/>
      <c r="J17" s="348"/>
      <c r="K17" s="348"/>
      <c r="L17" s="348"/>
      <c r="M17" s="268"/>
      <c r="N17" s="348"/>
      <c r="O17" s="348"/>
      <c r="P17" s="348"/>
      <c r="Q17" s="268"/>
    </row>
    <row r="18" spans="1:17">
      <c r="J18" s="3"/>
      <c r="K18" s="3"/>
      <c r="N18" s="3"/>
      <c r="O18" s="3"/>
    </row>
    <row r="19" spans="1:17">
      <c r="A19" t="s">
        <v>197</v>
      </c>
      <c r="J19" s="3"/>
      <c r="K19" s="3"/>
      <c r="N19" s="3"/>
      <c r="O19" s="3"/>
    </row>
    <row r="20" spans="1:17">
      <c r="A20" t="s">
        <v>198</v>
      </c>
      <c r="J20" s="3"/>
      <c r="K20" s="3"/>
      <c r="N20" s="3"/>
      <c r="O20" s="3"/>
    </row>
    <row r="21" spans="1:17">
      <c r="A21" t="s">
        <v>76</v>
      </c>
      <c r="J21" s="3"/>
      <c r="K21" s="3"/>
      <c r="N21" s="3"/>
      <c r="O21" s="3"/>
    </row>
  </sheetData>
  <phoneticPr fontId="19" type="noConversion"/>
  <printOptions gridLines="1"/>
  <pageMargins left="0.25" right="0.25" top="1" bottom="1" header="0.5" footer="0.5"/>
  <pageSetup scale="61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Totals and Awards</vt:lpstr>
      <vt:lpstr>Paper</vt:lpstr>
      <vt:lpstr>Static</vt:lpstr>
      <vt:lpstr>MSRP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Drawbar Pull</vt:lpstr>
      <vt:lpstr>Penalties and Bonuses</vt:lpstr>
      <vt:lpstr>Vehicle Weights</vt:lpstr>
      <vt:lpstr>Acceleration!Print_Area</vt:lpstr>
      <vt:lpstr>'Totals and Awards'!Print_Area</vt:lpstr>
      <vt:lpstr>'Vehicle Weights'!Print_Area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Robert Baratono</cp:lastModifiedBy>
  <cp:lastPrinted>2018-03-10T11:26:39Z</cp:lastPrinted>
  <dcterms:created xsi:type="dcterms:W3CDTF">2000-03-12T02:15:03Z</dcterms:created>
  <dcterms:modified xsi:type="dcterms:W3CDTF">2018-03-21T19:18:36Z</dcterms:modified>
</cp:coreProperties>
</file>