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2" yWindow="3732" windowWidth="17328" windowHeight="378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Emissions'!$N$19</definedName>
    <definedName name="Bmin">'Lab Emissions'!$N$18</definedName>
    <definedName name="Emax">'Lab Emissions'!$J$19</definedName>
    <definedName name="Emin">'Lab Emissions'!$J$18</definedName>
    <definedName name="_xlnm.Print_Area" localSheetId="0">'Totals and Awards'!$A$1:$O$55</definedName>
  </definedNames>
  <calcPr calcId="125725"/>
</workbook>
</file>

<file path=xl/calcChain.xml><?xml version="1.0" encoding="utf-8"?>
<calcChain xmlns="http://schemas.openxmlformats.org/spreadsheetml/2006/main">
  <c r="E11" i="4"/>
  <c r="E12"/>
  <c r="E14"/>
  <c r="E16"/>
  <c r="E20"/>
  <c r="E21"/>
  <c r="E7"/>
  <c r="E6"/>
  <c r="E3"/>
  <c r="E2"/>
  <c r="D10"/>
  <c r="AU4" i="5"/>
  <c r="B51" i="13" l="1"/>
  <c r="B52"/>
  <c r="B50"/>
  <c r="B48"/>
  <c r="B47"/>
  <c r="B45"/>
  <c r="B42"/>
  <c r="B41"/>
  <c r="B40"/>
  <c r="B39"/>
  <c r="O5"/>
  <c r="O6"/>
  <c r="O7"/>
  <c r="O8"/>
  <c r="O9"/>
  <c r="O10"/>
  <c r="O11"/>
  <c r="O12"/>
  <c r="O13"/>
  <c r="O14"/>
  <c r="O15"/>
  <c r="O16"/>
  <c r="O4"/>
  <c r="E22" i="11"/>
  <c r="E14"/>
  <c r="E7" i="7"/>
  <c r="E9"/>
  <c r="E11"/>
  <c r="E13"/>
  <c r="E15"/>
  <c r="E16"/>
  <c r="E17"/>
  <c r="E6"/>
  <c r="B43" i="13" l="1"/>
  <c r="B17" i="11"/>
  <c r="C14"/>
  <c r="C10"/>
  <c r="C7"/>
  <c r="C6"/>
  <c r="J14" i="19" l="1"/>
  <c r="K14"/>
  <c r="I17" i="7" l="1"/>
  <c r="I16"/>
  <c r="I15"/>
  <c r="I13"/>
  <c r="I11"/>
  <c r="I9"/>
  <c r="I7"/>
  <c r="I6"/>
  <c r="I2"/>
  <c r="I3"/>
  <c r="J13" l="1"/>
  <c r="J15"/>
  <c r="J16"/>
  <c r="J6"/>
  <c r="J7"/>
  <c r="J17"/>
  <c r="J11"/>
  <c r="J9"/>
  <c r="D6"/>
  <c r="D7"/>
  <c r="D9"/>
  <c r="D11"/>
  <c r="D13"/>
  <c r="D15"/>
  <c r="D16"/>
  <c r="D17"/>
  <c r="H16" i="19" l="1"/>
  <c r="H17"/>
  <c r="H18"/>
  <c r="D16" i="11"/>
  <c r="D17"/>
  <c r="D18"/>
  <c r="D7"/>
  <c r="H15" i="14" l="1"/>
  <c r="H5"/>
  <c r="E15"/>
  <c r="B10" l="1"/>
  <c r="E10"/>
  <c r="G10"/>
  <c r="E14"/>
  <c r="D8"/>
  <c r="C12"/>
  <c r="C8"/>
  <c r="B16" i="5" l="1"/>
  <c r="AQ15"/>
  <c r="D21" i="4" l="1"/>
  <c r="D20"/>
  <c r="D16"/>
  <c r="D14"/>
  <c r="D12"/>
  <c r="D11"/>
  <c r="O33" i="1" l="1"/>
  <c r="N33"/>
  <c r="M33"/>
  <c r="L33"/>
  <c r="L21" l="1"/>
  <c r="K21"/>
  <c r="J21"/>
  <c r="E3" i="7" l="1"/>
  <c r="K32" i="1"/>
  <c r="I32"/>
  <c r="H32"/>
  <c r="D32"/>
  <c r="C32"/>
  <c r="E32"/>
  <c r="F32"/>
  <c r="G32"/>
  <c r="F22" l="1"/>
  <c r="E22"/>
  <c r="H22"/>
  <c r="G22"/>
  <c r="E8" l="1"/>
  <c r="M8"/>
  <c r="I7"/>
  <c r="J7"/>
  <c r="L7"/>
  <c r="K7"/>
  <c r="F4" l="1"/>
  <c r="G4"/>
  <c r="E4"/>
  <c r="J4"/>
  <c r="O3" l="1"/>
  <c r="N3"/>
  <c r="M3"/>
  <c r="L3"/>
  <c r="K3"/>
  <c r="I3"/>
  <c r="H3"/>
  <c r="G3"/>
  <c r="F3"/>
  <c r="E3"/>
  <c r="D3"/>
  <c r="C3"/>
  <c r="Q16" i="14" l="1"/>
  <c r="R16" s="1"/>
  <c r="Q15"/>
  <c r="R15" s="1"/>
  <c r="Q14"/>
  <c r="R14" s="1"/>
  <c r="Q12"/>
  <c r="R12" s="1"/>
  <c r="Q10"/>
  <c r="R10" s="1"/>
  <c r="Q8"/>
  <c r="R8" s="1"/>
  <c r="Q6"/>
  <c r="R6" s="1"/>
  <c r="Q5"/>
  <c r="R5" s="1"/>
  <c r="Q4"/>
  <c r="R4" s="1"/>
  <c r="S10" l="1"/>
  <c r="S12"/>
  <c r="S5"/>
  <c r="S14"/>
  <c r="S15"/>
  <c r="S16"/>
  <c r="S8"/>
  <c r="S4"/>
  <c r="S6"/>
  <c r="E18" i="6" l="1"/>
  <c r="E19"/>
  <c r="E20" l="1"/>
  <c r="AU16" i="5"/>
  <c r="AV16" s="1"/>
  <c r="AU15"/>
  <c r="AV15" s="1"/>
  <c r="AU14"/>
  <c r="AV14" s="1"/>
  <c r="AU13"/>
  <c r="AV13" s="1"/>
  <c r="AU12"/>
  <c r="AV12" s="1"/>
  <c r="AU11"/>
  <c r="AV11" s="1"/>
  <c r="AU10"/>
  <c r="AV10" s="1"/>
  <c r="AU9"/>
  <c r="AV9" s="1"/>
  <c r="AU8"/>
  <c r="AV8" s="1"/>
  <c r="AU7"/>
  <c r="AV7" s="1"/>
  <c r="AU6"/>
  <c r="AV6" s="1"/>
  <c r="AU5"/>
  <c r="AV5" s="1"/>
  <c r="AV4"/>
  <c r="E21" i="6" l="1"/>
  <c r="F16"/>
  <c r="F15"/>
  <c r="F17"/>
  <c r="F11"/>
  <c r="F13"/>
  <c r="AW4" i="5"/>
  <c r="AW10"/>
  <c r="AW5"/>
  <c r="AW11"/>
  <c r="AW6"/>
  <c r="AW12"/>
  <c r="AW8"/>
  <c r="AW14"/>
  <c r="AW13"/>
  <c r="AW15"/>
  <c r="AW7"/>
  <c r="AW9"/>
  <c r="AW16"/>
  <c r="C4" i="10" l="1"/>
  <c r="H12" i="19"/>
  <c r="H10"/>
  <c r="H8"/>
  <c r="H7"/>
  <c r="H6"/>
  <c r="N54" i="1" l="1"/>
  <c r="N55" s="1"/>
  <c r="B15" i="13" s="1"/>
  <c r="D8" i="11"/>
  <c r="D10"/>
  <c r="D12"/>
  <c r="D14"/>
  <c r="P51" i="1"/>
  <c r="P52"/>
  <c r="A4" l="1"/>
  <c r="A5" s="1"/>
  <c r="A6" s="1"/>
  <c r="A7" s="1"/>
  <c r="A8" s="1"/>
  <c r="C15" i="10"/>
  <c r="C7"/>
  <c r="A9" i="1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E14" i="13"/>
  <c r="O57" i="1"/>
  <c r="O54"/>
  <c r="O55" s="1"/>
  <c r="B16" i="13" s="1"/>
  <c r="M57" i="1"/>
  <c r="M54"/>
  <c r="M55" s="1"/>
  <c r="B14" i="13" s="1"/>
  <c r="E14" i="15"/>
  <c r="E15"/>
  <c r="E16"/>
  <c r="C5" i="10"/>
  <c r="L5" i="13" s="1"/>
  <c r="C6" i="10"/>
  <c r="L6" i="13" s="1"/>
  <c r="C8" i="10"/>
  <c r="C9"/>
  <c r="L9" i="13" s="1"/>
  <c r="C10" i="10"/>
  <c r="C11"/>
  <c r="L11" i="13" s="1"/>
  <c r="C12" i="10"/>
  <c r="L12" i="13" s="1"/>
  <c r="C13" i="10"/>
  <c r="L13" i="13" s="1"/>
  <c r="C14" i="10"/>
  <c r="L14" i="13" s="1"/>
  <c r="C16" i="10"/>
  <c r="L16" i="13" s="1"/>
  <c r="J11"/>
  <c r="R5" i="18"/>
  <c r="D6" i="11"/>
  <c r="E3" s="1"/>
  <c r="C14" i="13"/>
  <c r="J5"/>
  <c r="J6"/>
  <c r="J7"/>
  <c r="J8"/>
  <c r="J9"/>
  <c r="J10"/>
  <c r="J12"/>
  <c r="J14"/>
  <c r="J15"/>
  <c r="J16"/>
  <c r="C16"/>
  <c r="N57" i="1"/>
  <c r="J5" i="12"/>
  <c r="N5" i="13" s="1"/>
  <c r="J6" i="12"/>
  <c r="N6" i="13" s="1"/>
  <c r="J7" i="12"/>
  <c r="N7" i="13" s="1"/>
  <c r="J8" i="12"/>
  <c r="N8" i="13" s="1"/>
  <c r="J9" i="12"/>
  <c r="N9" i="13" s="1"/>
  <c r="J10" i="12"/>
  <c r="N10" i="13" s="1"/>
  <c r="J11" i="12"/>
  <c r="N11" i="13" s="1"/>
  <c r="J12" i="12"/>
  <c r="N12" i="13" s="1"/>
  <c r="J13" i="12"/>
  <c r="N13" i="13" s="1"/>
  <c r="J14" i="12"/>
  <c r="N14" i="13" s="1"/>
  <c r="J15" i="12"/>
  <c r="N15" i="13" s="1"/>
  <c r="J16" i="12"/>
  <c r="N16" i="13" s="1"/>
  <c r="L15"/>
  <c r="L7"/>
  <c r="R15" i="18"/>
  <c r="R16"/>
  <c r="R17"/>
  <c r="R8"/>
  <c r="G15" i="13"/>
  <c r="E8"/>
  <c r="E9"/>
  <c r="E10"/>
  <c r="B27" i="3"/>
  <c r="B26"/>
  <c r="F2" i="19"/>
  <c r="L10" i="13"/>
  <c r="L8"/>
  <c r="E5" i="15"/>
  <c r="E6"/>
  <c r="E8"/>
  <c r="E9"/>
  <c r="E10"/>
  <c r="E11"/>
  <c r="E4"/>
  <c r="D57" i="1"/>
  <c r="E57"/>
  <c r="F57"/>
  <c r="G57"/>
  <c r="H57"/>
  <c r="I57"/>
  <c r="J57"/>
  <c r="K57"/>
  <c r="L57"/>
  <c r="C57"/>
  <c r="P46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7"/>
  <c r="P48"/>
  <c r="P49"/>
  <c r="P50"/>
  <c r="B27" i="6"/>
  <c r="E6" i="13"/>
  <c r="E11"/>
  <c r="C12"/>
  <c r="C9"/>
  <c r="C4"/>
  <c r="C5"/>
  <c r="C6"/>
  <c r="C7"/>
  <c r="C8"/>
  <c r="C10"/>
  <c r="C11"/>
  <c r="C13"/>
  <c r="C15"/>
  <c r="P3" i="1"/>
  <c r="G7" i="13"/>
  <c r="F1" i="19"/>
  <c r="L4" i="13"/>
  <c r="J4" i="12"/>
  <c r="N4" i="13" s="1"/>
  <c r="R13" i="18"/>
  <c r="R12"/>
  <c r="R10"/>
  <c r="R11"/>
  <c r="R14"/>
  <c r="J13" i="13"/>
  <c r="R6" i="18"/>
  <c r="J4" i="13"/>
  <c r="R7" i="18"/>
  <c r="R9"/>
  <c r="E4" i="13"/>
  <c r="I54" i="1"/>
  <c r="I55" s="1"/>
  <c r="B10" i="13" s="1"/>
  <c r="E54" i="1"/>
  <c r="E55" s="1"/>
  <c r="B6" i="13" s="1"/>
  <c r="F54" i="1"/>
  <c r="F55" s="1"/>
  <c r="B7" i="13" s="1"/>
  <c r="C54" i="1"/>
  <c r="C55" s="1"/>
  <c r="B4" i="13" s="1"/>
  <c r="G54" i="1"/>
  <c r="G55" s="1"/>
  <c r="B8" i="13" s="1"/>
  <c r="L54" i="1"/>
  <c r="L55" s="1"/>
  <c r="B13" i="13" s="1"/>
  <c r="K54" i="1"/>
  <c r="K55" s="1"/>
  <c r="B12" i="13" s="1"/>
  <c r="J54" i="1"/>
  <c r="J55" s="1"/>
  <c r="B11" i="13" s="1"/>
  <c r="D54" i="1"/>
  <c r="D55" s="1"/>
  <c r="B5" i="13" s="1"/>
  <c r="H54" i="1"/>
  <c r="H55" s="1"/>
  <c r="B9" i="13" s="1"/>
  <c r="C17" i="6" l="1"/>
  <c r="C16"/>
  <c r="C15"/>
  <c r="C11"/>
  <c r="C7"/>
  <c r="C6"/>
  <c r="C5"/>
  <c r="C13"/>
  <c r="B24" i="3"/>
  <c r="B25" s="1"/>
  <c r="E17" s="1"/>
  <c r="L17" s="1"/>
  <c r="B21" i="19"/>
  <c r="E5" i="13"/>
  <c r="J1" i="19"/>
  <c r="C27" i="6"/>
  <c r="N58" i="1"/>
  <c r="H9" i="15"/>
  <c r="H5"/>
  <c r="H6"/>
  <c r="H8"/>
  <c r="H14"/>
  <c r="F2"/>
  <c r="H16"/>
  <c r="H10"/>
  <c r="H15"/>
  <c r="J2" i="19"/>
  <c r="E2" i="7"/>
  <c r="D21" s="1"/>
  <c r="B28" i="6"/>
  <c r="E2" i="11"/>
  <c r="E16" i="13"/>
  <c r="K58" i="1"/>
  <c r="E58"/>
  <c r="D58"/>
  <c r="L58"/>
  <c r="C58"/>
  <c r="H58"/>
  <c r="I58"/>
  <c r="G58"/>
  <c r="J58"/>
  <c r="F58"/>
  <c r="G4" i="13"/>
  <c r="G5"/>
  <c r="G8"/>
  <c r="G9"/>
  <c r="G10"/>
  <c r="G13"/>
  <c r="G11"/>
  <c r="G12"/>
  <c r="G16"/>
  <c r="G14"/>
  <c r="G6"/>
  <c r="F1" i="15"/>
  <c r="H4"/>
  <c r="H11"/>
  <c r="E13" i="13"/>
  <c r="E15"/>
  <c r="E12"/>
  <c r="E7"/>
  <c r="O58" i="1"/>
  <c r="M58"/>
  <c r="B22" i="19" l="1"/>
  <c r="F21"/>
  <c r="E16" i="3"/>
  <c r="L16" s="1"/>
  <c r="D13" i="13" s="1"/>
  <c r="E18" i="3"/>
  <c r="L18" s="1"/>
  <c r="D15" i="13" s="1"/>
  <c r="E14" i="3"/>
  <c r="L14" s="1"/>
  <c r="D11" i="13" s="1"/>
  <c r="E11" i="3"/>
  <c r="L11" s="1"/>
  <c r="D8" i="13" s="1"/>
  <c r="E19" i="3"/>
  <c r="L19" s="1"/>
  <c r="D16" i="13" s="1"/>
  <c r="E10" i="3"/>
  <c r="L10" s="1"/>
  <c r="D7" i="13" s="1"/>
  <c r="E7" i="3"/>
  <c r="L7" s="1"/>
  <c r="D4" i="13" s="1"/>
  <c r="E15" i="3"/>
  <c r="L15" s="1"/>
  <c r="D12" i="13" s="1"/>
  <c r="E8" i="3"/>
  <c r="L8" s="1"/>
  <c r="D5" i="13" s="1"/>
  <c r="E13" i="3"/>
  <c r="L13" s="1"/>
  <c r="D10" i="13" s="1"/>
  <c r="E12" i="3"/>
  <c r="L12" s="1"/>
  <c r="D9" i="13" s="1"/>
  <c r="E9" i="3"/>
  <c r="L9" s="1"/>
  <c r="D6" i="13" s="1"/>
  <c r="E23" i="11"/>
  <c r="B29" i="6"/>
  <c r="C28"/>
  <c r="D22" i="7"/>
  <c r="D14" i="13"/>
  <c r="E10" i="4" l="1"/>
  <c r="F4" i="13" s="1"/>
  <c r="E12" i="11"/>
  <c r="E18"/>
  <c r="E10"/>
  <c r="E17"/>
  <c r="E8"/>
  <c r="E16"/>
  <c r="E7"/>
  <c r="E6"/>
  <c r="F10" s="1"/>
  <c r="F22" i="19"/>
  <c r="I16"/>
  <c r="I17"/>
  <c r="I18"/>
  <c r="K18" s="1"/>
  <c r="C17"/>
  <c r="C16"/>
  <c r="C6"/>
  <c r="C18"/>
  <c r="M6" i="13"/>
  <c r="M16"/>
  <c r="M12"/>
  <c r="M5"/>
  <c r="I9"/>
  <c r="I6"/>
  <c r="I11"/>
  <c r="I10"/>
  <c r="I5"/>
  <c r="C8" i="19"/>
  <c r="M13" i="3"/>
  <c r="M18"/>
  <c r="C12" i="19"/>
  <c r="C10"/>
  <c r="C7"/>
  <c r="M14" i="13"/>
  <c r="M14" i="3"/>
  <c r="M10"/>
  <c r="M17"/>
  <c r="M15"/>
  <c r="M12"/>
  <c r="F11" i="13"/>
  <c r="F16"/>
  <c r="M7" i="3"/>
  <c r="M11"/>
  <c r="M9"/>
  <c r="I7" i="19"/>
  <c r="F5" i="13"/>
  <c r="F22" s="1"/>
  <c r="F13"/>
  <c r="M8" i="3"/>
  <c r="M19"/>
  <c r="M16"/>
  <c r="K16" i="19"/>
  <c r="I6"/>
  <c r="I8"/>
  <c r="I10"/>
  <c r="I12"/>
  <c r="C29" i="6"/>
  <c r="B30"/>
  <c r="I4" i="13"/>
  <c r="M4" l="1"/>
  <c r="F21" s="1"/>
  <c r="D7" i="19"/>
  <c r="D10"/>
  <c r="D16"/>
  <c r="D6"/>
  <c r="D8"/>
  <c r="D12"/>
  <c r="F12" i="11"/>
  <c r="M10" i="13"/>
  <c r="F17" i="11"/>
  <c r="M8" i="13"/>
  <c r="F14" i="11"/>
  <c r="F16"/>
  <c r="F7"/>
  <c r="F18"/>
  <c r="F8"/>
  <c r="M15" i="13"/>
  <c r="K14"/>
  <c r="K7" i="19"/>
  <c r="F10" i="13"/>
  <c r="D18" i="19"/>
  <c r="D17"/>
  <c r="F6" i="11"/>
  <c r="F14" i="13"/>
  <c r="J18" i="19"/>
  <c r="F12" i="13"/>
  <c r="F8"/>
  <c r="F25" s="1"/>
  <c r="F9"/>
  <c r="F6"/>
  <c r="F23" s="1"/>
  <c r="F15"/>
  <c r="K10" i="19"/>
  <c r="J10"/>
  <c r="K12"/>
  <c r="J12"/>
  <c r="K8"/>
  <c r="J8"/>
  <c r="J17"/>
  <c r="K17"/>
  <c r="K6"/>
  <c r="J6"/>
  <c r="J7"/>
  <c r="J16"/>
  <c r="I16" i="13"/>
  <c r="F33" s="1"/>
  <c r="F17" i="7"/>
  <c r="I15" i="13"/>
  <c r="F16" i="7"/>
  <c r="I7" i="13"/>
  <c r="F24" s="1"/>
  <c r="I13"/>
  <c r="F15" i="7"/>
  <c r="I14" i="13"/>
  <c r="I12"/>
  <c r="F13" i="7"/>
  <c r="C30" i="6"/>
  <c r="B31"/>
  <c r="F11" i="7"/>
  <c r="I8" i="13"/>
  <c r="F9" i="7"/>
  <c r="F6"/>
  <c r="F7"/>
  <c r="K7" i="13"/>
  <c r="K16"/>
  <c r="K15"/>
  <c r="K4"/>
  <c r="K9"/>
  <c r="K13"/>
  <c r="K8"/>
  <c r="K10"/>
  <c r="K5"/>
  <c r="K11"/>
  <c r="K12"/>
  <c r="K6"/>
  <c r="F27" l="1"/>
  <c r="F32"/>
  <c r="F31"/>
  <c r="C31" i="6"/>
  <c r="B32"/>
  <c r="F35" i="13" l="1"/>
  <c r="B33" i="6"/>
  <c r="C32"/>
  <c r="C33" l="1"/>
  <c r="B34"/>
  <c r="C34" l="1"/>
  <c r="B35"/>
  <c r="B36" l="1"/>
  <c r="C35"/>
  <c r="C36" l="1"/>
  <c r="B37"/>
  <c r="C37" l="1"/>
  <c r="B38"/>
  <c r="C38" l="1"/>
  <c r="B39"/>
  <c r="C39" l="1"/>
  <c r="B40"/>
  <c r="C40" l="1"/>
  <c r="B41"/>
  <c r="B42" l="1"/>
  <c r="C41"/>
  <c r="C42" l="1"/>
  <c r="B43"/>
  <c r="C43" s="1"/>
  <c r="G14" l="1"/>
  <c r="G9"/>
  <c r="H8" i="13" s="1"/>
  <c r="F6" i="6"/>
  <c r="G6" s="1"/>
  <c r="H5" i="13" s="1"/>
  <c r="G16" i="6"/>
  <c r="H15" i="13" s="1"/>
  <c r="G13" i="6"/>
  <c r="H12" i="13" s="1"/>
  <c r="G15" i="6"/>
  <c r="H14" i="13" s="1"/>
  <c r="G12" i="6"/>
  <c r="H11" i="13" s="1"/>
  <c r="G11" i="6"/>
  <c r="H10" i="13" s="1"/>
  <c r="G17" i="6"/>
  <c r="H16" i="13" s="1"/>
  <c r="G8" i="6"/>
  <c r="H7" i="13" s="1"/>
  <c r="F7" i="6"/>
  <c r="G7" s="1"/>
  <c r="H6" i="13" s="1"/>
  <c r="G10" i="6"/>
  <c r="H9" i="13" s="1"/>
  <c r="F5" i="6"/>
  <c r="G5" s="1"/>
  <c r="P12" i="13" l="1"/>
  <c r="D29"/>
  <c r="P14"/>
  <c r="D31"/>
  <c r="P6"/>
  <c r="D23"/>
  <c r="P11"/>
  <c r="D28"/>
  <c r="P5"/>
  <c r="D22"/>
  <c r="P16"/>
  <c r="D33"/>
  <c r="P7"/>
  <c r="D24"/>
  <c r="P8"/>
  <c r="D25"/>
  <c r="P9"/>
  <c r="D26"/>
  <c r="P10"/>
  <c r="D27"/>
  <c r="P15"/>
  <c r="D32"/>
  <c r="C25"/>
  <c r="B25"/>
  <c r="G25"/>
  <c r="C33"/>
  <c r="G33"/>
  <c r="B33"/>
  <c r="G22"/>
  <c r="C22"/>
  <c r="B22"/>
  <c r="B29"/>
  <c r="G29"/>
  <c r="C29"/>
  <c r="G24"/>
  <c r="C24"/>
  <c r="B24"/>
  <c r="C31"/>
  <c r="B31"/>
  <c r="G31"/>
  <c r="B23"/>
  <c r="C23"/>
  <c r="G23"/>
  <c r="B28"/>
  <c r="G28"/>
  <c r="C28"/>
  <c r="B26"/>
  <c r="C26"/>
  <c r="G26"/>
  <c r="B27"/>
  <c r="C27"/>
  <c r="G27"/>
  <c r="G32"/>
  <c r="C32"/>
  <c r="B32"/>
  <c r="H14" i="6"/>
  <c r="H13"/>
  <c r="H15"/>
  <c r="H17"/>
  <c r="H8"/>
  <c r="H12"/>
  <c r="H16"/>
  <c r="H9"/>
  <c r="H11"/>
  <c r="H7"/>
  <c r="H10"/>
  <c r="H6"/>
  <c r="H5"/>
  <c r="H4" i="13"/>
  <c r="H13"/>
  <c r="P4" l="1"/>
  <c r="D21"/>
  <c r="P13"/>
  <c r="D30"/>
  <c r="B21"/>
  <c r="C21"/>
  <c r="G21"/>
  <c r="C30"/>
  <c r="B30"/>
  <c r="G30"/>
  <c r="H30" l="1"/>
  <c r="H32"/>
  <c r="H27"/>
  <c r="D35"/>
  <c r="B35"/>
  <c r="H24"/>
  <c r="H31"/>
  <c r="H29"/>
  <c r="H25"/>
  <c r="H33"/>
  <c r="C35"/>
  <c r="H22"/>
  <c r="H26"/>
  <c r="H28"/>
  <c r="H21"/>
</calcChain>
</file>

<file path=xl/sharedStrings.xml><?xml version="1.0" encoding="utf-8"?>
<sst xmlns="http://schemas.openxmlformats.org/spreadsheetml/2006/main" count="665" uniqueCount="267">
  <si>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</si>
  <si>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</si>
  <si>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</si>
  <si>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</si>
  <si>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</si>
  <si>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</si>
  <si>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</si>
  <si>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</si>
  <si>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</si>
  <si>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</si>
  <si>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</si>
  <si>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</si>
  <si>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</si>
  <si>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</si>
  <si>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</si>
  <si>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</si>
  <si>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</si>
  <si>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</si>
  <si>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</si>
  <si>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</si>
  <si>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</si>
  <si>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</si>
  <si>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</si>
  <si>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</si>
  <si>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</si>
  <si>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</si>
  <si>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</si>
  <si>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</si>
  <si>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</si>
  <si>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</si>
  <si>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</si>
  <si>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</si>
  <si>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</si>
  <si>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Minimum Lap Time (s)</t>
  </si>
  <si>
    <t>Tmax =</t>
  </si>
  <si>
    <t>Tmin =</t>
  </si>
  <si>
    <t>Noise</t>
  </si>
  <si>
    <t>Acceleration</t>
  </si>
  <si>
    <t>Best Time (s)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</si>
  <si>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</si>
  <si>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</si>
  <si>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</si>
  <si>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</si>
  <si>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</si>
  <si>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</si>
  <si>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</si>
  <si>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</si>
  <si>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</si>
  <si>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</si>
  <si>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</si>
  <si>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</si>
  <si>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</si>
  <si>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</si>
  <si>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</si>
  <si>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</si>
  <si>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</si>
  <si>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</si>
  <si>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</si>
  <si>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</si>
  <si>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</si>
  <si>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</si>
  <si>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</si>
  <si>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</si>
  <si>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</si>
  <si>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</si>
  <si>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</si>
  <si>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Design Winner (SAE)</t>
  </si>
  <si>
    <t>Best Fuel Economy Winner (Gage)</t>
  </si>
  <si>
    <t>Most Practical Winner (BRC)</t>
  </si>
  <si>
    <t>Best Handling (Polaris)</t>
  </si>
  <si>
    <t>Average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</si>
  <si>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</si>
  <si>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</si>
  <si>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</si>
  <si>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</si>
  <si>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</si>
  <si>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</si>
  <si>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</si>
  <si>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</si>
  <si>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</si>
  <si>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</si>
  <si>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</si>
  <si>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</si>
  <si>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</si>
  <si>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Best Emissions Winner (AVL)</t>
  </si>
  <si>
    <t>Lowest "In Service" Emissions (Sensors)</t>
  </si>
  <si>
    <t>FINAL EMISSIONS (grams/mile)</t>
  </si>
  <si>
    <t>No points for</t>
  </si>
  <si>
    <t>Weight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</si>
  <si>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</si>
  <si>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</si>
  <si>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</si>
  <si>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</si>
  <si>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</si>
  <si>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</si>
  <si>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</si>
  <si>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</si>
  <si>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</si>
  <si>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</si>
  <si>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</si>
  <si>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</si>
  <si>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</si>
  <si>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</si>
  <si>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</si>
  <si>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</si>
  <si>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</si>
  <si>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</si>
  <si>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</si>
  <si>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</si>
  <si>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</si>
  <si>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</si>
  <si>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</si>
  <si>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</si>
  <si>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</si>
  <si>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</si>
  <si>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</si>
  <si>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</si>
  <si>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</si>
  <si>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</si>
  <si>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</si>
  <si>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</si>
  <si>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Second Place Winner Overall (YNP)$750</t>
  </si>
  <si>
    <t>Third Place Winner Overall (ACSA)$500</t>
  </si>
  <si>
    <t>Best Engine Design (Mahle)$500</t>
  </si>
  <si>
    <t>Most Sportsmanlike Winner  (AVL)$1000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</si>
  <si>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</si>
  <si>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</si>
  <si>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</si>
  <si>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</si>
  <si>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</si>
  <si>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</si>
  <si>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</si>
  <si>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</si>
  <si>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</si>
  <si>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</si>
  <si>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</si>
  <si>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</si>
  <si>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</si>
  <si>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</si>
  <si>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</si>
  <si>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</si>
  <si>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</si>
  <si>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</si>
  <si>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</si>
  <si>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</si>
  <si>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</si>
  <si>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</si>
  <si>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</si>
  <si>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</si>
  <si>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</si>
  <si>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</si>
  <si>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</si>
  <si>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</si>
  <si>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</si>
  <si>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</si>
  <si>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</si>
  <si>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Sound Pressure</t>
  </si>
  <si>
    <t>Sample result: -3dB in sound pressure = ~half the max score</t>
  </si>
  <si>
    <t>Lowest SPL gets 150 points</t>
  </si>
  <si>
    <t>SPL equal to or greater than control sled gets 7.5 points</t>
  </si>
  <si>
    <t># of papers</t>
  </si>
  <si>
    <t>CO+NO+THC
g/mile</t>
  </si>
  <si>
    <t>Endurance</t>
  </si>
  <si>
    <t>Run 1 Lap Time (s)</t>
  </si>
  <si>
    <t>Run 2 Lap Time (s)</t>
  </si>
  <si>
    <t>Fuel consumed (gallons)</t>
  </si>
  <si>
    <t>Design Paper
Judge</t>
  </si>
  <si>
    <t>First Place Winner Overall
 (ISMA)$1,000 MacLean-Fogg $1000</t>
  </si>
  <si>
    <t>Innovation (DENSO) $500</t>
  </si>
  <si>
    <t>#1 Univ of Wisconsin-Madison</t>
  </si>
  <si>
    <t>Minimum team J1161 Sound Pressure Level =</t>
  </si>
  <si>
    <t>Control Sled J1161 Sound Pressure Level</t>
  </si>
  <si>
    <t>DNF</t>
  </si>
  <si>
    <t>PASS</t>
  </si>
  <si>
    <t>FAIL</t>
  </si>
  <si>
    <t>Note this page will be calculated by AVL in their computer.  Just copy and paste results.</t>
  </si>
  <si>
    <t>MinEScore</t>
  </si>
  <si>
    <t>-</t>
  </si>
  <si>
    <t>MaxEScore</t>
  </si>
  <si>
    <t>MinBSFC</t>
  </si>
  <si>
    <t>g/kw-hr</t>
  </si>
  <si>
    <t>MaxBSFC</t>
  </si>
  <si>
    <t>Minimum Points</t>
  </si>
  <si>
    <t>Maximum Points</t>
  </si>
  <si>
    <t>Value</t>
  </si>
  <si>
    <t>as above</t>
  </si>
  <si>
    <t>dBA</t>
  </si>
  <si>
    <t>Control Sled tested to J1161 Sound Pressure
 at 35mph in dBA</t>
  </si>
  <si>
    <t>Note: Course was shortened to 400 feet for safety reasons - ice on course/stopping distance</t>
  </si>
  <si>
    <t>Total Time must be Less than 10 seconds</t>
  </si>
  <si>
    <t>M</t>
  </si>
  <si>
    <t>B</t>
  </si>
  <si>
    <t>Total Points</t>
  </si>
  <si>
    <t>FE Score</t>
  </si>
  <si>
    <t>FE Ordinal</t>
  </si>
  <si>
    <t>Best Value Award (Continental EMITECH)</t>
  </si>
  <si>
    <t>Best Performance Winner (CAMSO) Camso Trac</t>
  </si>
  <si>
    <t>Quietest Snowmobile Winner (PCB) Camso Trac</t>
  </si>
  <si>
    <t>#2Clarkson University</t>
  </si>
  <si>
    <r>
      <t>#3</t>
    </r>
    <r>
      <rPr>
        <sz val="18"/>
        <color theme="1"/>
        <rFont val="Calibri"/>
        <family val="2"/>
      </rPr>
      <t>É</t>
    </r>
    <r>
      <rPr>
        <sz val="18"/>
        <color theme="1"/>
        <rFont val="Calibri"/>
        <family val="2"/>
        <scheme val="minor"/>
      </rPr>
      <t>cole De Technologie Sup</t>
    </r>
    <r>
      <rPr>
        <sz val="18"/>
        <color theme="1"/>
        <rFont val="Calibri"/>
        <family val="2"/>
      </rPr>
      <t>é</t>
    </r>
    <r>
      <rPr>
        <sz val="18"/>
        <color theme="1"/>
        <rFont val="Calibri"/>
        <family val="2"/>
        <scheme val="minor"/>
      </rPr>
      <t>rieure</t>
    </r>
  </si>
  <si>
    <t>#4Univ of Wisconsin-Platteville</t>
  </si>
  <si>
    <t>#5 Michigan Tech Univ</t>
  </si>
  <si>
    <t>#6 Iowa State Univ</t>
  </si>
  <si>
    <t>#7 Univ of Idaho</t>
  </si>
  <si>
    <t>#14 Univ of Minnesota-Duluth</t>
  </si>
  <si>
    <t>#13 St Cloud State Univ</t>
  </si>
  <si>
    <t>#12 SUNY-Buffalo</t>
  </si>
  <si>
    <t>#10 Rochester Institute of Technology</t>
  </si>
  <si>
    <t>#8 Northern Illinois</t>
  </si>
  <si>
    <t>#11 Univ of Minnesota-Twin Cities</t>
  </si>
  <si>
    <t>SAE CSC 2017 Final Score Internal Combustion Class</t>
  </si>
  <si>
    <t>SAE CSC 2017 Design Paper</t>
  </si>
  <si>
    <t>SAE CSC 2017 Static Display Results</t>
  </si>
  <si>
    <t>SAE CSC 2017 MSRP Results</t>
  </si>
  <si>
    <t>SAE CSC 2017 Subjective Ride Results - Event Coordinator - Polaris</t>
  </si>
  <si>
    <t>SAE CSC 2017 Fuel Economy/Endurance Results</t>
  </si>
  <si>
    <t>SAE CSC 2017 IC Engine Noise Testing</t>
  </si>
  <si>
    <t>SAE CSC 2017 Oral Presentation Results</t>
  </si>
  <si>
    <t>SAE CSC 2017 Acceleration Results Sam Smith- Polaris</t>
  </si>
  <si>
    <t>SAE CSC 2017 Lab Emission Testing Results</t>
  </si>
  <si>
    <t>SAE CSC 2017 In Service Emission Testing Results</t>
  </si>
  <si>
    <t>SAE CSC 2017 Cold Start Results</t>
  </si>
  <si>
    <t>SAE CSC 2017 Objective Handling/Driveability Event Results Mike Rittenour- Polaris</t>
  </si>
  <si>
    <t>SAE CSC 2017 Penalties and Bonuses</t>
  </si>
  <si>
    <t>SAE CSC 2017 IC Vehicle Weights</t>
  </si>
  <si>
    <t>#2 Clarkson University</t>
  </si>
  <si>
    <r>
      <t xml:space="preserve">#3 </t>
    </r>
    <r>
      <rPr>
        <sz val="9"/>
        <color theme="1"/>
        <rFont val="Calibri"/>
        <family val="2"/>
      </rPr>
      <t>É</t>
    </r>
    <r>
      <rPr>
        <sz val="9"/>
        <color theme="1"/>
        <rFont val="Calibri"/>
        <family val="2"/>
        <scheme val="minor"/>
      </rPr>
      <t>cole De Technologie Sup</t>
    </r>
    <r>
      <rPr>
        <sz val="9"/>
        <color theme="1"/>
        <rFont val="Calibri"/>
        <family val="2"/>
      </rPr>
      <t>é</t>
    </r>
    <r>
      <rPr>
        <sz val="9"/>
        <color theme="1"/>
        <rFont val="Calibri"/>
        <family val="2"/>
        <scheme val="minor"/>
      </rPr>
      <t>rieure</t>
    </r>
  </si>
  <si>
    <t>#4 Univ of Wisconsin-Platteville</t>
  </si>
  <si>
    <r>
      <t xml:space="preserve">#3 </t>
    </r>
    <r>
      <rPr>
        <sz val="18"/>
        <color theme="1"/>
        <rFont val="Calibri"/>
        <family val="2"/>
      </rPr>
      <t>É</t>
    </r>
    <r>
      <rPr>
        <sz val="18"/>
        <color theme="1"/>
        <rFont val="Calibri"/>
        <family val="2"/>
        <scheme val="minor"/>
      </rPr>
      <t>cole De Technologie Sup</t>
    </r>
    <r>
      <rPr>
        <sz val="18"/>
        <color theme="1"/>
        <rFont val="Calibri"/>
        <family val="2"/>
      </rPr>
      <t>é</t>
    </r>
    <r>
      <rPr>
        <sz val="18"/>
        <color theme="1"/>
        <rFont val="Calibri"/>
        <family val="2"/>
        <scheme val="minor"/>
      </rPr>
      <t>rieure</t>
    </r>
  </si>
  <si>
    <t>V</t>
  </si>
  <si>
    <t>No Tech Insp</t>
  </si>
  <si>
    <t>don elzinga</t>
  </si>
  <si>
    <t>jim kelts</t>
  </si>
  <si>
    <t>chris wolff</t>
  </si>
  <si>
    <t>=</t>
  </si>
  <si>
    <t>sam smith</t>
  </si>
  <si>
    <t>john bulzachelli</t>
  </si>
  <si>
    <t>joe wegleitner</t>
  </si>
  <si>
    <t>dave alger</t>
  </si>
  <si>
    <t>bob hernesman</t>
  </si>
  <si>
    <t>Penalties</t>
  </si>
  <si>
    <t>negative numbers</t>
  </si>
  <si>
    <t>positive numbers</t>
  </si>
  <si>
    <t>Top Speed Run 1</t>
  </si>
  <si>
    <t>Top Speed Run 2</t>
  </si>
  <si>
    <t>Best Speed (mph)</t>
  </si>
  <si>
    <t>on running sled no safety gear</t>
  </si>
  <si>
    <t>safety glasses</t>
  </si>
  <si>
    <t xml:space="preserve">FLAG </t>
  </si>
  <si>
    <t>BOX</t>
  </si>
  <si>
    <t>2) 1 FLAG., BOX</t>
  </si>
  <si>
    <t>2) 1 FLAG</t>
  </si>
  <si>
    <t>1) OFF COURSE 2) BOX</t>
  </si>
  <si>
    <t>1) BOX</t>
  </si>
  <si>
    <t>E Score
&gt; 170</t>
  </si>
  <si>
    <t>Soot
&lt; 0.05</t>
  </si>
  <si>
    <t>Sums</t>
  </si>
  <si>
    <t>#7 Idaho</t>
  </si>
  <si>
    <t>#14 Duluth</t>
  </si>
  <si>
    <t>#10 RIT, #14 Duluth, Kettering (Diesel Utility Class))</t>
  </si>
  <si>
    <t>CAN -DO E-Controls award (E Controls) $1,000 value
 products</t>
  </si>
  <si>
    <t>Horiba "A Team in Need" - portable
 5 gas analyzer $5,000 value</t>
  </si>
  <si>
    <t>E59</t>
  </si>
  <si>
    <t>High winds and icy conditions reduced the distance and time of the event.</t>
  </si>
  <si>
    <t>#3 École De Technologie Supérieure</t>
  </si>
  <si>
    <t>#1 University of Wisconsin-Madison</t>
  </si>
  <si>
    <t>Most Innovative Emissions Design (Faurecia)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</si>
</sst>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color rgb="FF00B050"/>
      <name val="Arial"/>
      <family val="2"/>
    </font>
    <font>
      <b/>
      <sz val="16"/>
      <color rgb="FF7030A0"/>
      <name val="Arial"/>
      <family val="2"/>
    </font>
    <font>
      <b/>
      <i/>
      <sz val="16"/>
      <name val="Arial"/>
      <family val="2"/>
    </font>
    <font>
      <sz val="11"/>
      <color rgb="FF7030A0"/>
      <name val="Calibri"/>
      <family val="2"/>
      <scheme val="minor"/>
    </font>
    <font>
      <b/>
      <sz val="16"/>
      <color rgb="FFC00000"/>
      <name val="Arial"/>
      <family val="2"/>
    </font>
    <font>
      <i/>
      <u/>
      <sz val="16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39" fillId="2" borderId="0" applyNumberFormat="0" applyBorder="0" applyAlignment="0" applyProtection="0"/>
    <xf numFmtId="44" fontId="40" fillId="0" borderId="0" applyFont="0" applyFill="0" applyBorder="0" applyAlignment="0" applyProtection="0"/>
    <xf numFmtId="0" fontId="7" fillId="0" borderId="0"/>
    <xf numFmtId="0" fontId="8" fillId="0" borderId="0"/>
    <xf numFmtId="0" fontId="61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86">
    <xf numFmtId="0" fontId="0" fillId="0" borderId="0" xfId="0"/>
    <xf numFmtId="0" fontId="0" fillId="0" borderId="0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center"/>
    </xf>
    <xf numFmtId="0" fontId="0" fillId="0" borderId="0" xfId="0" applyProtection="1"/>
    <xf numFmtId="0" fontId="14" fillId="0" borderId="0" xfId="0" applyFont="1" applyProtection="1"/>
    <xf numFmtId="0" fontId="10" fillId="0" borderId="0" xfId="0" applyFont="1" applyProtection="1"/>
    <xf numFmtId="0" fontId="0" fillId="0" borderId="0" xfId="0" applyAlignment="1" applyProtection="1">
      <alignment horizontal="right"/>
    </xf>
    <xf numFmtId="0" fontId="9" fillId="0" borderId="0" xfId="0" applyFont="1" applyProtection="1"/>
    <xf numFmtId="0" fontId="9" fillId="0" borderId="0" xfId="0" applyFont="1" applyFill="1" applyBorder="1" applyProtection="1"/>
    <xf numFmtId="0" fontId="0" fillId="0" borderId="0" xfId="0" applyFill="1" applyBorder="1" applyProtection="1"/>
    <xf numFmtId="0" fontId="9" fillId="0" borderId="0" xfId="0" applyFont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1" fontId="9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Fill="1" applyBorder="1"/>
    <xf numFmtId="0" fontId="12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6" fillId="0" borderId="0" xfId="0" applyFont="1"/>
    <xf numFmtId="0" fontId="13" fillId="0" borderId="0" xfId="0" applyFont="1" applyFill="1" applyBorder="1" applyAlignment="1" applyProtection="1">
      <alignment horizontal="right"/>
    </xf>
    <xf numFmtId="1" fontId="9" fillId="0" borderId="0" xfId="0" applyNumberFormat="1" applyFont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 wrapText="1"/>
    </xf>
    <xf numFmtId="1" fontId="11" fillId="0" borderId="0" xfId="0" applyNumberFormat="1" applyFont="1" applyAlignment="1" applyProtection="1">
      <alignment horizontal="right"/>
    </xf>
    <xf numFmtId="0" fontId="11" fillId="0" borderId="0" xfId="0" applyFont="1" applyProtection="1"/>
    <xf numFmtId="0" fontId="12" fillId="0" borderId="0" xfId="0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3" fillId="0" borderId="0" xfId="0" applyFont="1" applyFill="1"/>
    <xf numFmtId="0" fontId="12" fillId="0" borderId="0" xfId="0" applyFont="1" applyFill="1" applyAlignment="1" applyProtection="1">
      <alignment horizontal="center"/>
    </xf>
    <xf numFmtId="0" fontId="14" fillId="0" borderId="0" xfId="0" applyFont="1" applyFill="1"/>
    <xf numFmtId="0" fontId="12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3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3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9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11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0" fontId="17" fillId="0" borderId="0" xfId="0" applyFont="1"/>
    <xf numFmtId="0" fontId="9" fillId="0" borderId="0" xfId="0" applyFont="1" applyAlignment="1" applyProtection="1">
      <alignment horizontal="left"/>
    </xf>
    <xf numFmtId="0" fontId="11" fillId="0" borderId="0" xfId="0" applyFont="1"/>
    <xf numFmtId="0" fontId="11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9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3" fillId="0" borderId="0" xfId="0" quotePrefix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wrapText="1"/>
    </xf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right"/>
    </xf>
    <xf numFmtId="1" fontId="11" fillId="0" borderId="0" xfId="0" applyNumberFormat="1" applyFont="1" applyAlignment="1" applyProtection="1">
      <alignment horizontal="center"/>
    </xf>
    <xf numFmtId="165" fontId="11" fillId="0" borderId="0" xfId="0" applyNumberFormat="1" applyFont="1" applyProtection="1"/>
    <xf numFmtId="0" fontId="18" fillId="0" borderId="0" xfId="0" applyFont="1" applyProtection="1"/>
    <xf numFmtId="0" fontId="18" fillId="0" borderId="0" xfId="0" applyFont="1" applyAlignment="1" applyProtection="1"/>
    <xf numFmtId="0" fontId="18" fillId="0" borderId="0" xfId="0" applyFont="1" applyBorder="1" applyAlignment="1" applyProtection="1"/>
    <xf numFmtId="0" fontId="18" fillId="0" borderId="0" xfId="0" applyFont="1" applyBorder="1" applyProtection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Protection="1"/>
    <xf numFmtId="0" fontId="18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/>
    <xf numFmtId="2" fontId="18" fillId="0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Alignment="1" applyProtection="1"/>
    <xf numFmtId="164" fontId="18" fillId="0" borderId="0" xfId="0" applyNumberFormat="1" applyFont="1" applyFill="1" applyProtection="1"/>
    <xf numFmtId="164" fontId="18" fillId="0" borderId="0" xfId="0" applyNumberFormat="1" applyFont="1" applyFill="1"/>
    <xf numFmtId="164" fontId="18" fillId="0" borderId="0" xfId="0" applyNumberFormat="1" applyFont="1" applyFill="1" applyAlignment="1">
      <alignment horizontal="center"/>
    </xf>
    <xf numFmtId="0" fontId="19" fillId="0" borderId="0" xfId="0" applyFont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166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Protection="1"/>
    <xf numFmtId="2" fontId="19" fillId="0" borderId="0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/>
    <xf numFmtId="164" fontId="18" fillId="0" borderId="0" xfId="0" applyNumberFormat="1" applyFont="1" applyFill="1" applyBorder="1" applyAlignment="1">
      <alignment horizontal="center"/>
    </xf>
    <xf numFmtId="164" fontId="19" fillId="0" borderId="0" xfId="0" applyNumberFormat="1" applyFont="1" applyFill="1" applyBorder="1" applyAlignment="1" applyProtection="1">
      <alignment horizontal="center"/>
    </xf>
    <xf numFmtId="164" fontId="19" fillId="0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 applyProtection="1">
      <alignment horizontal="center"/>
    </xf>
    <xf numFmtId="14" fontId="18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 applyProtection="1">
      <alignment horizontal="center"/>
    </xf>
    <xf numFmtId="0" fontId="13" fillId="0" borderId="0" xfId="0" applyFont="1" applyAlignment="1" applyProtection="1"/>
    <xf numFmtId="0" fontId="12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/>
    <xf numFmtId="167" fontId="13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13" fillId="0" borderId="0" xfId="0" applyFont="1" applyFill="1" applyBorder="1" applyAlignment="1" applyProtection="1">
      <alignment horizontal="center" wrapText="1"/>
    </xf>
    <xf numFmtId="165" fontId="12" fillId="0" borderId="0" xfId="0" applyNumberFormat="1" applyFont="1" applyFill="1" applyBorder="1" applyProtection="1"/>
    <xf numFmtId="0" fontId="9" fillId="0" borderId="0" xfId="0" applyFont="1"/>
    <xf numFmtId="2" fontId="9" fillId="0" borderId="0" xfId="0" applyNumberFormat="1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2" fillId="0" borderId="0" xfId="0" applyFont="1" applyProtection="1"/>
    <xf numFmtId="0" fontId="21" fillId="0" borderId="0" xfId="0" applyFont="1" applyProtection="1"/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Fill="1" applyBorder="1" applyAlignment="1" applyProtection="1">
      <alignment horizontal="center"/>
    </xf>
    <xf numFmtId="1" fontId="22" fillId="0" borderId="0" xfId="0" applyNumberFormat="1" applyFont="1" applyAlignment="1" applyProtection="1">
      <alignment horizontal="center"/>
    </xf>
    <xf numFmtId="164" fontId="25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67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2" fillId="0" borderId="0" xfId="0" applyFont="1" applyFill="1"/>
    <xf numFmtId="0" fontId="22" fillId="0" borderId="0" xfId="0" applyFont="1" applyFill="1" applyBorder="1" applyAlignment="1" applyProtection="1">
      <alignment horizontal="right"/>
    </xf>
    <xf numFmtId="1" fontId="25" fillId="0" borderId="0" xfId="0" applyNumberFormat="1" applyFont="1" applyAlignment="1" applyProtection="1">
      <alignment horizontal="right"/>
    </xf>
    <xf numFmtId="164" fontId="21" fillId="0" borderId="0" xfId="0" applyNumberFormat="1" applyFont="1" applyAlignment="1" applyProtection="1">
      <alignment horizontal="center"/>
    </xf>
    <xf numFmtId="0" fontId="0" fillId="0" borderId="0" xfId="0" applyAlignment="1">
      <alignment wrapText="1"/>
    </xf>
    <xf numFmtId="0" fontId="27" fillId="0" borderId="0" xfId="0" applyFont="1" applyAlignment="1" applyProtection="1">
      <alignment horizontal="center" wrapText="1"/>
    </xf>
    <xf numFmtId="1" fontId="13" fillId="0" borderId="0" xfId="0" applyNumberFormat="1" applyFont="1" applyAlignment="1" applyProtection="1">
      <alignment horizontal="left"/>
    </xf>
    <xf numFmtId="0" fontId="26" fillId="0" borderId="0" xfId="0" applyFont="1"/>
    <xf numFmtId="0" fontId="26" fillId="0" borderId="0" xfId="0" applyFont="1" applyProtection="1"/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0" xfId="0" applyFont="1"/>
    <xf numFmtId="2" fontId="11" fillId="0" borderId="0" xfId="0" applyNumberFormat="1" applyFont="1" applyFill="1" applyBorder="1" applyAlignment="1" applyProtection="1">
      <alignment horizontal="center"/>
    </xf>
    <xf numFmtId="164" fontId="9" fillId="0" borderId="0" xfId="0" quotePrefix="1" applyNumberFormat="1" applyFont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left"/>
    </xf>
    <xf numFmtId="164" fontId="13" fillId="0" borderId="0" xfId="0" applyNumberFormat="1" applyFont="1" applyFill="1"/>
    <xf numFmtId="2" fontId="9" fillId="0" borderId="0" xfId="0" applyNumberFormat="1" applyFont="1" applyAlignment="1">
      <alignment horizontal="center"/>
    </xf>
    <xf numFmtId="0" fontId="29" fillId="0" borderId="0" xfId="0" applyFont="1" applyAlignment="1">
      <alignment horizontal="justify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2" fontId="18" fillId="0" borderId="0" xfId="0" applyNumberFormat="1" applyFont="1" applyFill="1" applyBorder="1" applyAlignment="1" applyProtection="1">
      <alignment horizontal="left"/>
    </xf>
    <xf numFmtId="0" fontId="11" fillId="0" borderId="0" xfId="0" applyFont="1" applyAlignment="1"/>
    <xf numFmtId="0" fontId="28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center"/>
    </xf>
    <xf numFmtId="0" fontId="21" fillId="0" borderId="0" xfId="0" applyFont="1" applyFill="1"/>
    <xf numFmtId="0" fontId="11" fillId="0" borderId="0" xfId="0" applyFont="1" applyFill="1" applyAlignment="1">
      <alignment horizontal="center"/>
    </xf>
    <xf numFmtId="0" fontId="9" fillId="0" borderId="0" xfId="0" applyFont="1" applyFill="1" applyAlignment="1" applyProtection="1">
      <alignment horizontal="center"/>
    </xf>
    <xf numFmtId="0" fontId="31" fillId="0" borderId="0" xfId="0" applyFont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2" fontId="11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1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11" fillId="0" borderId="0" xfId="0" applyNumberFormat="1" applyFont="1" applyProtection="1"/>
    <xf numFmtId="2" fontId="13" fillId="0" borderId="0" xfId="0" applyNumberFormat="1" applyFont="1" applyProtection="1"/>
    <xf numFmtId="1" fontId="0" fillId="0" borderId="0" xfId="0" applyNumberFormat="1" applyBorder="1"/>
    <xf numFmtId="0" fontId="11" fillId="0" borderId="0" xfId="0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left"/>
    </xf>
    <xf numFmtId="1" fontId="33" fillId="0" borderId="0" xfId="0" applyNumberFormat="1" applyFont="1" applyAlignment="1" applyProtection="1">
      <alignment horizontal="right"/>
    </xf>
    <xf numFmtId="0" fontId="33" fillId="0" borderId="0" xfId="0" applyFont="1" applyProtection="1"/>
    <xf numFmtId="0" fontId="34" fillId="0" borderId="0" xfId="0" applyFont="1"/>
    <xf numFmtId="0" fontId="34" fillId="0" borderId="0" xfId="0" applyFont="1" applyAlignment="1">
      <alignment horizontal="center"/>
    </xf>
    <xf numFmtId="164" fontId="34" fillId="0" borderId="0" xfId="0" applyNumberFormat="1" applyFont="1"/>
    <xf numFmtId="0" fontId="34" fillId="0" borderId="0" xfId="0" applyFont="1" applyProtection="1"/>
    <xf numFmtId="0" fontId="9" fillId="0" borderId="3" xfId="0" applyFont="1" applyBorder="1" applyAlignment="1">
      <alignment horizontal="centerContinuous"/>
    </xf>
    <xf numFmtId="0" fontId="13" fillId="0" borderId="0" xfId="0" applyFont="1" applyAlignment="1" applyProtection="1">
      <alignment horizontal="centerContinuous"/>
    </xf>
    <xf numFmtId="0" fontId="13" fillId="0" borderId="4" xfId="0" applyFont="1" applyBorder="1" applyAlignment="1" applyProtection="1">
      <alignment horizontal="centerContinuous"/>
    </xf>
    <xf numFmtId="0" fontId="13" fillId="0" borderId="5" xfId="0" applyFont="1" applyBorder="1" applyAlignment="1" applyProtection="1">
      <alignment horizontal="centerContinuous"/>
    </xf>
    <xf numFmtId="0" fontId="13" fillId="0" borderId="3" xfId="0" applyFont="1" applyBorder="1" applyAlignment="1" applyProtection="1">
      <alignment horizontal="centerContinuous"/>
    </xf>
    <xf numFmtId="0" fontId="13" fillId="0" borderId="7" xfId="0" applyFont="1" applyFill="1" applyBorder="1" applyProtection="1"/>
    <xf numFmtId="0" fontId="13" fillId="0" borderId="6" xfId="0" applyFont="1" applyFill="1" applyBorder="1" applyProtection="1"/>
    <xf numFmtId="0" fontId="9" fillId="0" borderId="0" xfId="0" applyFont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1" fontId="33" fillId="0" borderId="0" xfId="0" applyNumberFormat="1" applyFont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  <xf numFmtId="164" fontId="8" fillId="0" borderId="2" xfId="0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35" fillId="0" borderId="0" xfId="0" applyFont="1"/>
    <xf numFmtId="0" fontId="34" fillId="0" borderId="0" xfId="0" applyFont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</xf>
    <xf numFmtId="164" fontId="34" fillId="0" borderId="2" xfId="0" applyNumberFormat="1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4" fillId="0" borderId="0" xfId="0" applyFont="1" applyAlignment="1" applyProtection="1"/>
    <xf numFmtId="0" fontId="34" fillId="0" borderId="0" xfId="0" applyFont="1" applyFill="1"/>
    <xf numFmtId="167" fontId="34" fillId="0" borderId="0" xfId="0" applyNumberFormat="1" applyFont="1" applyFill="1" applyBorder="1" applyAlignment="1" applyProtection="1">
      <alignment horizontal="center"/>
    </xf>
    <xf numFmtId="0" fontId="34" fillId="0" borderId="0" xfId="0" applyFont="1" applyAlignment="1"/>
    <xf numFmtId="0" fontId="34" fillId="0" borderId="0" xfId="0" applyFont="1" applyFill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/>
    <xf numFmtId="0" fontId="8" fillId="0" borderId="0" xfId="0" applyFont="1" applyAlignment="1">
      <alignment horizontal="left"/>
    </xf>
    <xf numFmtId="0" fontId="8" fillId="0" borderId="0" xfId="0" applyFont="1" applyProtection="1"/>
    <xf numFmtId="1" fontId="8" fillId="0" borderId="2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Fill="1" applyBorder="1" applyProtection="1"/>
    <xf numFmtId="0" fontId="37" fillId="0" borderId="0" xfId="0" applyFont="1" applyProtection="1"/>
    <xf numFmtId="0" fontId="37" fillId="0" borderId="0" xfId="0" applyFont="1"/>
    <xf numFmtId="1" fontId="8" fillId="0" borderId="0" xfId="0" applyNumberFormat="1" applyFont="1" applyAlignment="1" applyProtection="1">
      <alignment horizontal="center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 applyProtection="1">
      <alignment horizontal="right"/>
    </xf>
    <xf numFmtId="0" fontId="28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Fill="1" applyBorder="1" applyProtection="1"/>
    <xf numFmtId="165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168" fontId="9" fillId="0" borderId="0" xfId="0" applyNumberFormat="1" applyFont="1" applyAlignment="1">
      <alignment horizontal="right"/>
    </xf>
    <xf numFmtId="44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11" fillId="0" borderId="0" xfId="0" applyFont="1" applyFill="1"/>
    <xf numFmtId="164" fontId="0" fillId="0" borderId="0" xfId="0" applyNumberFormat="1" applyAlignment="1">
      <alignment horizontal="center"/>
    </xf>
    <xf numFmtId="0" fontId="13" fillId="0" borderId="0" xfId="0" applyNumberFormat="1" applyFont="1" applyProtection="1"/>
    <xf numFmtId="0" fontId="13" fillId="0" borderId="0" xfId="0" applyNumberFormat="1" applyFont="1" applyFill="1" applyBorder="1" applyProtection="1"/>
    <xf numFmtId="0" fontId="12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8" fillId="0" borderId="0" xfId="0" applyNumberFormat="1" applyFont="1" applyAlignment="1">
      <alignment horizontal="center"/>
    </xf>
    <xf numFmtId="0" fontId="18" fillId="0" borderId="0" xfId="0" applyNumberFormat="1" applyFont="1"/>
    <xf numFmtId="0" fontId="0" fillId="0" borderId="0" xfId="0" applyNumberFormat="1"/>
    <xf numFmtId="164" fontId="11" fillId="0" borderId="0" xfId="0" applyNumberFormat="1" applyFont="1" applyFill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8" fillId="0" borderId="0" xfId="0" applyNumberFormat="1" applyFont="1" applyBorder="1" applyAlignment="1" applyProtection="1">
      <alignment horizontal="left"/>
    </xf>
    <xf numFmtId="165" fontId="39" fillId="0" borderId="0" xfId="1" applyNumberFormat="1" applyFill="1" applyBorder="1" applyProtection="1"/>
    <xf numFmtId="166" fontId="13" fillId="0" borderId="0" xfId="0" applyNumberFormat="1" applyFont="1" applyProtection="1"/>
    <xf numFmtId="1" fontId="13" fillId="0" borderId="0" xfId="0" applyNumberFormat="1" applyFont="1" applyFill="1" applyBorder="1" applyAlignment="1" applyProtection="1">
      <alignment horizontal="center"/>
    </xf>
    <xf numFmtId="44" fontId="13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3" fillId="0" borderId="0" xfId="0" applyNumberFormat="1" applyFont="1" applyFill="1" applyBorder="1" applyAlignment="1" applyProtection="1">
      <alignment horizontal="center"/>
    </xf>
    <xf numFmtId="164" fontId="33" fillId="0" borderId="0" xfId="0" applyNumberFormat="1" applyFont="1" applyBorder="1" applyAlignment="1" applyProtection="1">
      <alignment horizontal="center"/>
    </xf>
    <xf numFmtId="0" fontId="34" fillId="0" borderId="0" xfId="0" applyFont="1" applyBorder="1"/>
    <xf numFmtId="0" fontId="34" fillId="0" borderId="0" xfId="0" applyFont="1" applyFill="1" applyBorder="1"/>
    <xf numFmtId="0" fontId="33" fillId="0" borderId="0" xfId="0" applyFont="1" applyBorder="1" applyAlignment="1" applyProtection="1">
      <alignment horizontal="center"/>
    </xf>
    <xf numFmtId="1" fontId="33" fillId="0" borderId="0" xfId="0" applyNumberFormat="1" applyFont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center"/>
    </xf>
    <xf numFmtId="164" fontId="33" fillId="0" borderId="0" xfId="0" applyNumberFormat="1" applyFont="1" applyFill="1" applyBorder="1" applyAlignment="1" applyProtection="1">
      <alignment horizontal="center"/>
    </xf>
    <xf numFmtId="164" fontId="33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2" fontId="34" fillId="0" borderId="0" xfId="0" applyNumberFormat="1" applyFont="1" applyFill="1" applyBorder="1" applyAlignment="1" applyProtection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44" fillId="0" borderId="0" xfId="0" applyFont="1"/>
    <xf numFmtId="1" fontId="34" fillId="0" borderId="0" xfId="0" applyNumberFormat="1" applyFont="1" applyAlignment="1">
      <alignment horizontal="center"/>
    </xf>
    <xf numFmtId="165" fontId="8" fillId="0" borderId="0" xfId="0" applyNumberFormat="1" applyFont="1" applyFill="1" applyBorder="1" applyProtection="1"/>
    <xf numFmtId="2" fontId="8" fillId="0" borderId="0" xfId="0" applyNumberFormat="1" applyFont="1"/>
    <xf numFmtId="165" fontId="38" fillId="0" borderId="0" xfId="1" applyNumberFormat="1" applyFont="1" applyFill="1" applyBorder="1" applyProtection="1"/>
    <xf numFmtId="0" fontId="34" fillId="0" borderId="0" xfId="0" applyFont="1" applyFill="1" applyBorder="1" applyAlignment="1">
      <alignment horizontal="center"/>
    </xf>
    <xf numFmtId="164" fontId="9" fillId="0" borderId="2" xfId="0" applyNumberFormat="1" applyFont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right"/>
    </xf>
    <xf numFmtId="0" fontId="33" fillId="0" borderId="0" xfId="0" applyFont="1" applyFill="1" applyBorder="1" applyProtection="1"/>
    <xf numFmtId="0" fontId="14" fillId="0" borderId="0" xfId="0" applyFont="1" applyAlignment="1">
      <alignment horizontal="left"/>
    </xf>
    <xf numFmtId="0" fontId="34" fillId="0" borderId="0" xfId="0" applyFont="1" applyBorder="1" applyAlignment="1">
      <alignment horizontal="left" wrapText="1"/>
    </xf>
    <xf numFmtId="1" fontId="34" fillId="0" borderId="0" xfId="0" applyNumberFormat="1" applyFont="1" applyBorder="1" applyAlignment="1" applyProtection="1">
      <alignment horizontal="left"/>
    </xf>
    <xf numFmtId="0" fontId="8" fillId="0" borderId="0" xfId="0" applyFont="1" applyFill="1" applyBorder="1"/>
    <xf numFmtId="164" fontId="8" fillId="0" borderId="0" xfId="0" applyNumberFormat="1" applyFont="1" applyBorder="1" applyAlignment="1" applyProtection="1">
      <alignment horizontal="left"/>
    </xf>
    <xf numFmtId="0" fontId="43" fillId="0" borderId="0" xfId="0" applyFont="1" applyFill="1" applyBorder="1" applyAlignment="1" applyProtection="1">
      <alignment horizontal="center" wrapText="1"/>
    </xf>
    <xf numFmtId="0" fontId="42" fillId="0" borderId="0" xfId="0" applyFont="1" applyAlignment="1"/>
    <xf numFmtId="0" fontId="42" fillId="0" borderId="0" xfId="0" applyFont="1"/>
    <xf numFmtId="0" fontId="8" fillId="0" borderId="2" xfId="0" applyFont="1" applyBorder="1" applyAlignment="1"/>
    <xf numFmtId="0" fontId="0" fillId="0" borderId="2" xfId="0" applyBorder="1" applyAlignment="1"/>
    <xf numFmtId="164" fontId="11" fillId="0" borderId="0" xfId="0" applyNumberFormat="1" applyFont="1" applyAlignment="1">
      <alignment horizontal="center"/>
    </xf>
    <xf numFmtId="0" fontId="29" fillId="0" borderId="0" xfId="0" applyFont="1" applyAlignment="1">
      <alignment horizontal="left" indent="12"/>
    </xf>
    <xf numFmtId="2" fontId="9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Continuous"/>
    </xf>
    <xf numFmtId="2" fontId="0" fillId="0" borderId="3" xfId="0" applyNumberFormat="1" applyBorder="1" applyAlignment="1">
      <alignment horizontal="centerContinuous"/>
    </xf>
    <xf numFmtId="2" fontId="0" fillId="0" borderId="6" xfId="0" applyNumberFormat="1" applyBorder="1"/>
    <xf numFmtId="2" fontId="9" fillId="0" borderId="9" xfId="0" applyNumberFormat="1" applyFont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/>
    <xf numFmtId="2" fontId="0" fillId="0" borderId="0" xfId="0" applyNumberFormat="1"/>
    <xf numFmtId="0" fontId="45" fillId="0" borderId="0" xfId="0" applyFont="1" applyFill="1" applyAlignment="1" applyProtection="1">
      <alignment horizontal="center"/>
    </xf>
    <xf numFmtId="0" fontId="45" fillId="0" borderId="0" xfId="0" applyFont="1" applyFill="1" applyAlignment="1">
      <alignment horizontal="center"/>
    </xf>
    <xf numFmtId="2" fontId="45" fillId="0" borderId="0" xfId="0" applyNumberFormat="1" applyFont="1" applyFill="1" applyAlignment="1" applyProtection="1">
      <alignment horizontal="center"/>
    </xf>
    <xf numFmtId="0" fontId="46" fillId="0" borderId="0" xfId="0" applyFont="1" applyFill="1" applyAlignment="1">
      <alignment horizontal="center"/>
    </xf>
    <xf numFmtId="164" fontId="47" fillId="0" borderId="2" xfId="1" applyNumberFormat="1" applyFont="1" applyFill="1" applyBorder="1" applyAlignment="1" applyProtection="1">
      <alignment horizontal="center"/>
    </xf>
    <xf numFmtId="0" fontId="38" fillId="0" borderId="0" xfId="1" applyFont="1" applyFill="1" applyBorder="1"/>
    <xf numFmtId="0" fontId="48" fillId="0" borderId="0" xfId="0" applyFont="1" applyBorder="1"/>
    <xf numFmtId="0" fontId="48" fillId="0" borderId="0" xfId="0" applyFont="1" applyBorder="1" applyAlignment="1">
      <alignment horizontal="center"/>
    </xf>
    <xf numFmtId="0" fontId="32" fillId="0" borderId="0" xfId="3" applyFont="1" applyBorder="1" applyAlignment="1">
      <alignment horizontal="left" wrapText="1"/>
    </xf>
    <xf numFmtId="0" fontId="50" fillId="0" borderId="0" xfId="0" applyFont="1" applyFill="1" applyAlignment="1" applyProtection="1">
      <alignment horizontal="center"/>
    </xf>
    <xf numFmtId="0" fontId="51" fillId="0" borderId="0" xfId="0" applyFont="1" applyAlignment="1">
      <alignment horizontal="left"/>
    </xf>
    <xf numFmtId="0" fontId="52" fillId="0" borderId="0" xfId="0" applyFont="1"/>
    <xf numFmtId="0" fontId="51" fillId="0" borderId="0" xfId="0" applyFont="1"/>
    <xf numFmtId="0" fontId="53" fillId="0" borderId="0" xfId="0" applyFont="1"/>
    <xf numFmtId="0" fontId="51" fillId="0" borderId="0" xfId="0" applyFont="1" applyProtection="1"/>
    <xf numFmtId="0" fontId="41" fillId="0" borderId="0" xfId="1" applyFont="1" applyFill="1" applyAlignment="1" applyProtection="1">
      <alignment horizontal="center"/>
    </xf>
    <xf numFmtId="0" fontId="34" fillId="0" borderId="0" xfId="0" applyFont="1" applyFill="1" applyBorder="1" applyProtection="1"/>
    <xf numFmtId="2" fontId="54" fillId="0" borderId="0" xfId="0" applyNumberFormat="1" applyFont="1" applyFill="1" applyBorder="1" applyAlignment="1" applyProtection="1">
      <alignment horizontal="center"/>
    </xf>
    <xf numFmtId="2" fontId="29" fillId="0" borderId="0" xfId="0" applyNumberFormat="1" applyFont="1" applyAlignment="1"/>
    <xf numFmtId="2" fontId="30" fillId="0" borderId="0" xfId="0" applyNumberFormat="1" applyFont="1" applyAlignment="1"/>
    <xf numFmtId="0" fontId="8" fillId="0" borderId="2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49" fillId="0" borderId="0" xfId="0" applyFont="1"/>
    <xf numFmtId="0" fontId="55" fillId="0" borderId="0" xfId="0" applyFont="1" applyAlignment="1" applyProtection="1">
      <alignment horizontal="left"/>
    </xf>
    <xf numFmtId="0" fontId="55" fillId="0" borderId="0" xfId="0" applyFont="1" applyProtection="1"/>
    <xf numFmtId="0" fontId="51" fillId="0" borderId="0" xfId="0" applyFont="1" applyAlignment="1">
      <alignment horizontal="left" wrapText="1"/>
    </xf>
    <xf numFmtId="0" fontId="17" fillId="0" borderId="0" xfId="0" applyFont="1" applyAlignment="1" applyProtection="1"/>
    <xf numFmtId="164" fontId="9" fillId="0" borderId="0" xfId="0" applyNumberFormat="1" applyFont="1"/>
    <xf numFmtId="164" fontId="38" fillId="0" borderId="2" xfId="1" applyNumberFormat="1" applyFont="1" applyFill="1" applyBorder="1" applyAlignment="1">
      <alignment horizontal="center" wrapText="1"/>
    </xf>
    <xf numFmtId="1" fontId="9" fillId="0" borderId="0" xfId="0" applyNumberFormat="1" applyFont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wrapText="1"/>
    </xf>
    <xf numFmtId="2" fontId="8" fillId="0" borderId="14" xfId="0" applyNumberFormat="1" applyFont="1" applyBorder="1" applyAlignment="1">
      <alignment horizontal="center"/>
    </xf>
    <xf numFmtId="0" fontId="57" fillId="0" borderId="0" xfId="0" applyFont="1" applyAlignment="1">
      <alignment horizontal="center" vertical="center"/>
    </xf>
    <xf numFmtId="167" fontId="58" fillId="0" borderId="0" xfId="0" applyNumberFormat="1" applyFont="1" applyAlignment="1">
      <alignment horizontal="center"/>
    </xf>
    <xf numFmtId="164" fontId="58" fillId="0" borderId="0" xfId="0" applyNumberFormat="1" applyFont="1" applyAlignment="1">
      <alignment horizontal="center"/>
    </xf>
    <xf numFmtId="2" fontId="59" fillId="0" borderId="0" xfId="0" applyNumberFormat="1" applyFont="1" applyAlignment="1">
      <alignment horizontal="center"/>
    </xf>
    <xf numFmtId="0" fontId="14" fillId="0" borderId="0" xfId="0" applyFont="1"/>
    <xf numFmtId="2" fontId="56" fillId="0" borderId="14" xfId="0" applyNumberFormat="1" applyFont="1" applyBorder="1" applyAlignment="1">
      <alignment horizontal="center"/>
    </xf>
    <xf numFmtId="2" fontId="8" fillId="0" borderId="12" xfId="0" applyNumberFormat="1" applyFont="1" applyBorder="1"/>
    <xf numFmtId="2" fontId="8" fillId="0" borderId="12" xfId="0" applyNumberFormat="1" applyFont="1" applyBorder="1" applyAlignment="1">
      <alignment horizontal="right"/>
    </xf>
    <xf numFmtId="0" fontId="59" fillId="0" borderId="0" xfId="0" applyFont="1" applyAlignment="1">
      <alignment horizontal="center"/>
    </xf>
    <xf numFmtId="0" fontId="57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60" fillId="0" borderId="0" xfId="0" applyFont="1" applyFill="1" applyAlignment="1">
      <alignment horizontal="center"/>
    </xf>
    <xf numFmtId="0" fontId="0" fillId="0" borderId="2" xfId="0" applyBorder="1"/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wrapText="1"/>
    </xf>
    <xf numFmtId="0" fontId="41" fillId="4" borderId="0" xfId="0" applyFont="1" applyFill="1" applyBorder="1"/>
    <xf numFmtId="1" fontId="2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44" fontId="15" fillId="0" borderId="0" xfId="0" applyNumberFormat="1" applyFont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 wrapText="1"/>
    </xf>
    <xf numFmtId="0" fontId="62" fillId="0" borderId="2" xfId="5" applyFont="1" applyBorder="1" applyAlignment="1"/>
    <xf numFmtId="164" fontId="14" fillId="0" borderId="0" xfId="0" applyNumberFormat="1" applyFont="1" applyProtection="1"/>
    <xf numFmtId="164" fontId="0" fillId="0" borderId="0" xfId="0" applyNumberFormat="1" applyProtection="1"/>
    <xf numFmtId="164" fontId="9" fillId="0" borderId="0" xfId="0" applyNumberFormat="1" applyFont="1" applyProtection="1"/>
    <xf numFmtId="164" fontId="0" fillId="0" borderId="0" xfId="0" applyNumberFormat="1" applyFill="1" applyBorder="1" applyProtection="1"/>
    <xf numFmtId="164" fontId="12" fillId="0" borderId="0" xfId="0" applyNumberFormat="1" applyFont="1" applyFill="1" applyBorder="1" applyAlignment="1" applyProtection="1">
      <alignment horizontal="center" wrapText="1"/>
    </xf>
    <xf numFmtId="0" fontId="8" fillId="0" borderId="2" xfId="0" applyFont="1" applyBorder="1"/>
    <xf numFmtId="1" fontId="9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9" fillId="0" borderId="10" xfId="0" applyFont="1" applyBorder="1" applyAlignment="1">
      <alignment horizontal="center"/>
    </xf>
    <xf numFmtId="2" fontId="59" fillId="0" borderId="10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right"/>
    </xf>
    <xf numFmtId="2" fontId="58" fillId="0" borderId="2" xfId="0" applyNumberFormat="1" applyFont="1" applyBorder="1"/>
    <xf numFmtId="164" fontId="59" fillId="0" borderId="2" xfId="0" applyNumberFormat="1" applyFont="1" applyBorder="1" applyAlignment="1">
      <alignment horizontal="center"/>
    </xf>
    <xf numFmtId="2" fontId="59" fillId="0" borderId="15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right"/>
    </xf>
    <xf numFmtId="0" fontId="38" fillId="0" borderId="0" xfId="1" applyFont="1" applyFill="1" applyBorder="1" applyAlignment="1" applyProtection="1">
      <alignment horizontal="center"/>
    </xf>
    <xf numFmtId="164" fontId="38" fillId="0" borderId="2" xfId="1" applyNumberFormat="1" applyFont="1" applyFill="1" applyBorder="1" applyAlignment="1" applyProtection="1">
      <alignment horizontal="center"/>
    </xf>
    <xf numFmtId="2" fontId="8" fillId="0" borderId="0" xfId="4" applyNumberFormat="1" applyFont="1" applyFill="1" applyBorder="1" applyAlignment="1" applyProtection="1">
      <alignment horizontal="center"/>
    </xf>
    <xf numFmtId="164" fontId="10" fillId="0" borderId="0" xfId="0" applyNumberFormat="1" applyFont="1" applyProtection="1"/>
    <xf numFmtId="164" fontId="57" fillId="0" borderId="0" xfId="0" applyNumberFormat="1" applyFont="1" applyAlignment="1">
      <alignment horizontal="center"/>
    </xf>
    <xf numFmtId="164" fontId="9" fillId="0" borderId="0" xfId="0" applyNumberFormat="1" applyFont="1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14" fillId="0" borderId="0" xfId="0" applyFont="1" applyFill="1" applyAlignment="1">
      <alignment wrapText="1"/>
    </xf>
    <xf numFmtId="2" fontId="34" fillId="0" borderId="0" xfId="0" applyNumberFormat="1" applyFont="1" applyProtection="1"/>
    <xf numFmtId="0" fontId="20" fillId="0" borderId="0" xfId="0" applyFont="1" applyAlignment="1" applyProtection="1">
      <alignment horizontal="left" wrapText="1"/>
    </xf>
    <xf numFmtId="0" fontId="12" fillId="0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wrapText="1"/>
    </xf>
    <xf numFmtId="2" fontId="9" fillId="0" borderId="2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Fill="1" applyBorder="1" applyProtection="1"/>
    <xf numFmtId="0" fontId="20" fillId="0" borderId="0" xfId="0" applyFont="1" applyAlignment="1" applyProtection="1">
      <alignment wrapText="1"/>
    </xf>
    <xf numFmtId="0" fontId="14" fillId="0" borderId="0" xfId="0" applyFont="1" applyAlignment="1">
      <alignment wrapText="1"/>
    </xf>
    <xf numFmtId="0" fontId="52" fillId="0" borderId="0" xfId="0" applyFont="1" applyAlignment="1">
      <alignment horizontal="left" wrapText="1"/>
    </xf>
    <xf numFmtId="0" fontId="21" fillId="0" borderId="0" xfId="0" applyFont="1" applyAlignment="1"/>
    <xf numFmtId="1" fontId="9" fillId="0" borderId="0" xfId="0" applyNumberFormat="1" applyFont="1" applyAlignment="1" applyProtection="1">
      <alignment horizontal="left"/>
    </xf>
    <xf numFmtId="1" fontId="9" fillId="0" borderId="0" xfId="0" applyNumberFormat="1" applyFont="1"/>
    <xf numFmtId="0" fontId="63" fillId="4" borderId="12" xfId="0" applyFont="1" applyFill="1" applyBorder="1"/>
    <xf numFmtId="0" fontId="63" fillId="4" borderId="2" xfId="0" applyFont="1" applyFill="1" applyBorder="1"/>
    <xf numFmtId="0" fontId="65" fillId="4" borderId="2" xfId="0" applyFont="1" applyFill="1" applyBorder="1" applyAlignment="1">
      <alignment wrapText="1"/>
    </xf>
    <xf numFmtId="0" fontId="34" fillId="5" borderId="2" xfId="0" applyFont="1" applyFill="1" applyBorder="1" applyAlignment="1">
      <alignment horizontal="center"/>
    </xf>
    <xf numFmtId="164" fontId="41" fillId="0" borderId="2" xfId="1" applyNumberFormat="1" applyFont="1" applyFill="1" applyBorder="1" applyAlignment="1" applyProtection="1">
      <alignment horizontal="center"/>
    </xf>
    <xf numFmtId="164" fontId="41" fillId="0" borderId="8" xfId="1" applyNumberFormat="1" applyFont="1" applyFill="1" applyBorder="1" applyAlignment="1">
      <alignment horizontal="center"/>
    </xf>
    <xf numFmtId="0" fontId="34" fillId="0" borderId="8" xfId="0" applyFont="1" applyBorder="1"/>
    <xf numFmtId="0" fontId="41" fillId="0" borderId="8" xfId="1" applyFont="1" applyFill="1" applyBorder="1" applyAlignment="1">
      <alignment horizontal="left" wrapText="1"/>
    </xf>
    <xf numFmtId="0" fontId="41" fillId="0" borderId="2" xfId="1" applyFont="1" applyFill="1" applyBorder="1" applyAlignment="1" applyProtection="1">
      <alignment horizontal="center"/>
    </xf>
    <xf numFmtId="0" fontId="67" fillId="0" borderId="2" xfId="1" applyFont="1" applyFill="1" applyBorder="1" applyAlignment="1" applyProtection="1">
      <alignment horizontal="center"/>
    </xf>
    <xf numFmtId="0" fontId="67" fillId="0" borderId="2" xfId="1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0" fontId="8" fillId="0" borderId="2" xfId="5" applyFont="1" applyBorder="1" applyAlignment="1"/>
    <xf numFmtId="1" fontId="56" fillId="0" borderId="2" xfId="0" applyNumberFormat="1" applyFont="1" applyBorder="1" applyAlignment="1">
      <alignment horizontal="center"/>
    </xf>
    <xf numFmtId="1" fontId="56" fillId="0" borderId="13" xfId="0" applyNumberFormat="1" applyFont="1" applyBorder="1" applyAlignment="1">
      <alignment horizontal="center"/>
    </xf>
    <xf numFmtId="1" fontId="56" fillId="0" borderId="12" xfId="0" applyNumberFormat="1" applyFont="1" applyBorder="1" applyAlignment="1">
      <alignment horizontal="center"/>
    </xf>
    <xf numFmtId="1" fontId="56" fillId="0" borderId="14" xfId="0" applyNumberFormat="1" applyFont="1" applyBorder="1" applyAlignment="1">
      <alignment horizontal="center"/>
    </xf>
    <xf numFmtId="1" fontId="12" fillId="0" borderId="2" xfId="0" applyNumberFormat="1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left"/>
    </xf>
    <xf numFmtId="2" fontId="69" fillId="0" borderId="0" xfId="0" applyNumberFormat="1" applyFont="1" applyAlignment="1">
      <alignment horizontal="center"/>
    </xf>
    <xf numFmtId="164" fontId="69" fillId="0" borderId="0" xfId="0" applyNumberFormat="1" applyFont="1" applyFill="1" applyBorder="1" applyAlignment="1">
      <alignment horizontal="center"/>
    </xf>
    <xf numFmtId="1" fontId="68" fillId="0" borderId="0" xfId="0" applyNumberFormat="1" applyFont="1" applyAlignment="1" applyProtection="1">
      <alignment horizontal="center"/>
    </xf>
    <xf numFmtId="0" fontId="69" fillId="0" borderId="0" xfId="0" applyFont="1" applyAlignment="1" applyProtection="1">
      <alignment horizontal="center"/>
    </xf>
    <xf numFmtId="164" fontId="38" fillId="0" borderId="2" xfId="1" applyNumberFormat="1" applyFont="1" applyFill="1" applyBorder="1" applyAlignment="1">
      <alignment horizontal="center"/>
    </xf>
    <xf numFmtId="44" fontId="9" fillId="0" borderId="0" xfId="6" applyFont="1" applyAlignment="1">
      <alignment horizontal="right"/>
    </xf>
    <xf numFmtId="0" fontId="70" fillId="0" borderId="0" xfId="0" applyFont="1"/>
    <xf numFmtId="164" fontId="71" fillId="0" borderId="2" xfId="0" applyNumberFormat="1" applyFont="1" applyBorder="1" applyAlignment="1">
      <alignment horizontal="center"/>
    </xf>
    <xf numFmtId="1" fontId="72" fillId="0" borderId="0" xfId="0" applyNumberFormat="1" applyFont="1" applyFill="1" applyAlignment="1">
      <alignment horizontal="center"/>
    </xf>
    <xf numFmtId="164" fontId="49" fillId="0" borderId="0" xfId="0" applyNumberFormat="1" applyFont="1" applyFill="1" applyAlignment="1" applyProtection="1">
      <alignment horizontal="center"/>
    </xf>
    <xf numFmtId="164" fontId="71" fillId="0" borderId="0" xfId="0" applyNumberFormat="1" applyFont="1" applyFill="1" applyAlignment="1" applyProtection="1">
      <alignment horizontal="center"/>
    </xf>
    <xf numFmtId="0" fontId="70" fillId="0" borderId="0" xfId="0" applyFont="1" applyAlignment="1">
      <alignment horizontal="left"/>
    </xf>
    <xf numFmtId="164" fontId="71" fillId="0" borderId="2" xfId="0" applyNumberFormat="1" applyFont="1" applyFill="1" applyBorder="1" applyAlignment="1">
      <alignment horizontal="center"/>
    </xf>
    <xf numFmtId="1" fontId="38" fillId="0" borderId="2" xfId="1" applyNumberFormat="1" applyFont="1" applyFill="1" applyBorder="1" applyAlignment="1">
      <alignment horizontal="center"/>
    </xf>
    <xf numFmtId="164" fontId="77" fillId="0" borderId="2" xfId="1" applyNumberFormat="1" applyFont="1" applyFill="1" applyBorder="1" applyAlignment="1" applyProtection="1">
      <alignment horizontal="center"/>
    </xf>
    <xf numFmtId="0" fontId="8" fillId="0" borderId="2" xfId="4" applyFont="1" applyBorder="1" applyAlignment="1">
      <alignment horizontal="center"/>
    </xf>
    <xf numFmtId="0" fontId="8" fillId="0" borderId="13" xfId="4" applyFont="1" applyBorder="1" applyAlignment="1">
      <alignment horizontal="center"/>
    </xf>
    <xf numFmtId="0" fontId="8" fillId="0" borderId="12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164" fontId="56" fillId="3" borderId="12" xfId="0" applyNumberFormat="1" applyFont="1" applyFill="1" applyBorder="1" applyAlignment="1">
      <alignment horizontal="center"/>
    </xf>
    <xf numFmtId="164" fontId="56" fillId="3" borderId="2" xfId="0" applyNumberFormat="1" applyFont="1" applyFill="1" applyBorder="1" applyAlignment="1">
      <alignment horizontal="center"/>
    </xf>
    <xf numFmtId="164" fontId="80" fillId="0" borderId="12" xfId="0" applyNumberFormat="1" applyFont="1" applyBorder="1" applyAlignment="1">
      <alignment horizontal="center"/>
    </xf>
    <xf numFmtId="164" fontId="80" fillId="0" borderId="2" xfId="0" applyNumberFormat="1" applyFont="1" applyBorder="1" applyAlignment="1">
      <alignment horizontal="center"/>
    </xf>
    <xf numFmtId="164" fontId="80" fillId="0" borderId="13" xfId="0" applyNumberFormat="1" applyFont="1" applyBorder="1" applyAlignment="1">
      <alignment horizontal="center"/>
    </xf>
    <xf numFmtId="164" fontId="81" fillId="0" borderId="2" xfId="1" applyNumberFormat="1" applyFont="1" applyFill="1" applyBorder="1" applyAlignment="1" applyProtection="1">
      <alignment horizontal="center"/>
    </xf>
    <xf numFmtId="164" fontId="80" fillId="0" borderId="14" xfId="0" applyNumberFormat="1" applyFont="1" applyBorder="1" applyAlignment="1">
      <alignment horizontal="center"/>
    </xf>
    <xf numFmtId="0" fontId="82" fillId="0" borderId="0" xfId="0" applyFont="1" applyFill="1" applyAlignment="1">
      <alignment horizontal="center"/>
    </xf>
    <xf numFmtId="0" fontId="81" fillId="0" borderId="0" xfId="1" applyFont="1" applyFill="1" applyAlignment="1" applyProtection="1">
      <alignment horizontal="center"/>
    </xf>
    <xf numFmtId="0" fontId="57" fillId="0" borderId="15" xfId="0" applyFont="1" applyBorder="1" applyAlignment="1">
      <alignment horizontal="center"/>
    </xf>
    <xf numFmtId="1" fontId="56" fillId="3" borderId="12" xfId="4" applyNumberFormat="1" applyFont="1" applyFill="1" applyBorder="1" applyAlignment="1">
      <alignment horizontal="center"/>
    </xf>
    <xf numFmtId="2" fontId="56" fillId="3" borderId="12" xfId="4" applyNumberFormat="1" applyFont="1" applyFill="1" applyBorder="1" applyAlignment="1">
      <alignment horizontal="center"/>
    </xf>
    <xf numFmtId="164" fontId="69" fillId="0" borderId="2" xfId="0" applyNumberFormat="1" applyFont="1" applyBorder="1"/>
    <xf numFmtId="164" fontId="68" fillId="0" borderId="0" xfId="0" applyNumberFormat="1" applyFont="1" applyFill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Alignment="1">
      <alignment horizontal="center"/>
    </xf>
    <xf numFmtId="0" fontId="63" fillId="4" borderId="8" xfId="0" applyFont="1" applyFill="1" applyBorder="1"/>
    <xf numFmtId="0" fontId="15" fillId="0" borderId="2" xfId="0" applyFont="1" applyBorder="1"/>
    <xf numFmtId="2" fontId="58" fillId="0" borderId="12" xfId="0" applyNumberFormat="1" applyFont="1" applyBorder="1"/>
    <xf numFmtId="2" fontId="59" fillId="0" borderId="12" xfId="0" applyNumberFormat="1" applyFont="1" applyBorder="1" applyAlignment="1">
      <alignment horizontal="center"/>
    </xf>
    <xf numFmtId="2" fontId="18" fillId="0" borderId="2" xfId="0" applyNumberFormat="1" applyFont="1" applyFill="1" applyBorder="1" applyAlignment="1" applyProtection="1">
      <alignment horizontal="center"/>
    </xf>
    <xf numFmtId="0" fontId="83" fillId="0" borderId="0" xfId="0" applyFont="1" applyAlignment="1" applyProtection="1">
      <alignment horizontal="center"/>
    </xf>
    <xf numFmtId="2" fontId="83" fillId="0" borderId="0" xfId="0" applyNumberFormat="1" applyFont="1" applyAlignment="1" applyProtection="1"/>
    <xf numFmtId="0" fontId="54" fillId="0" borderId="0" xfId="0" applyFont="1" applyAlignment="1" applyProtection="1">
      <alignment horizontal="center"/>
    </xf>
    <xf numFmtId="0" fontId="84" fillId="0" borderId="0" xfId="0" applyFont="1" applyAlignment="1" applyProtection="1">
      <alignment horizontal="center"/>
    </xf>
    <xf numFmtId="164" fontId="71" fillId="0" borderId="0" xfId="0" applyNumberFormat="1" applyFont="1" applyAlignment="1" applyProtection="1">
      <alignment horizontal="center"/>
    </xf>
    <xf numFmtId="164" fontId="71" fillId="0" borderId="0" xfId="0" applyNumberFormat="1" applyFont="1" applyAlignment="1">
      <alignment horizontal="center"/>
    </xf>
    <xf numFmtId="1" fontId="71" fillId="0" borderId="0" xfId="0" applyNumberFormat="1" applyFont="1" applyAlignment="1" applyProtection="1">
      <alignment horizontal="center"/>
    </xf>
    <xf numFmtId="1" fontId="71" fillId="0" borderId="0" xfId="0" applyNumberFormat="1" applyFont="1" applyAlignment="1">
      <alignment horizontal="center"/>
    </xf>
    <xf numFmtId="0" fontId="71" fillId="0" borderId="0" xfId="0" applyFont="1"/>
    <xf numFmtId="0" fontId="49" fillId="0" borderId="0" xfId="0" applyFont="1" applyAlignment="1">
      <alignment horizontal="center"/>
    </xf>
    <xf numFmtId="0" fontId="49" fillId="0" borderId="0" xfId="0" applyFont="1" applyAlignment="1" applyProtection="1">
      <alignment horizontal="right"/>
    </xf>
    <xf numFmtId="0" fontId="15" fillId="0" borderId="10" xfId="0" applyFont="1" applyBorder="1" applyAlignment="1">
      <alignment horizontal="center"/>
    </xf>
    <xf numFmtId="2" fontId="8" fillId="0" borderId="2" xfId="4" applyNumberFormat="1" applyFont="1" applyBorder="1" applyAlignment="1">
      <alignment horizontal="center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>
      <alignment horizontal="center" wrapText="1"/>
    </xf>
    <xf numFmtId="1" fontId="8" fillId="0" borderId="2" xfId="0" applyNumberFormat="1" applyFont="1" applyBorder="1" applyAlignment="1">
      <alignment horizontal="center"/>
    </xf>
    <xf numFmtId="1" fontId="0" fillId="0" borderId="2" xfId="0" applyNumberFormat="1" applyBorder="1" applyAlignment="1" applyProtection="1">
      <alignment horizontal="center"/>
    </xf>
    <xf numFmtId="1" fontId="34" fillId="0" borderId="2" xfId="0" applyNumberFormat="1" applyFont="1" applyBorder="1" applyAlignment="1" applyProtection="1">
      <alignment horizontal="center"/>
    </xf>
    <xf numFmtId="1" fontId="22" fillId="0" borderId="2" xfId="0" applyNumberFormat="1" applyFont="1" applyBorder="1" applyAlignment="1" applyProtection="1">
      <alignment horizontal="center"/>
    </xf>
    <xf numFmtId="1" fontId="9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" fontId="8" fillId="0" borderId="0" xfId="4" applyNumberFormat="1" applyFont="1" applyFill="1" applyBorder="1" applyAlignment="1" applyProtection="1">
      <alignment horizontal="center"/>
    </xf>
    <xf numFmtId="166" fontId="8" fillId="0" borderId="16" xfId="4" applyNumberFormat="1" applyFont="1" applyBorder="1" applyAlignment="1">
      <alignment horizontal="center"/>
    </xf>
    <xf numFmtId="0" fontId="8" fillId="0" borderId="16" xfId="4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170" fontId="8" fillId="0" borderId="2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170" fontId="8" fillId="0" borderId="12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1" fontId="9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" fontId="13" fillId="0" borderId="0" xfId="0" applyNumberFormat="1" applyFont="1" applyAlignment="1" applyProtection="1">
      <alignment horizontal="right"/>
    </xf>
    <xf numFmtId="1" fontId="12" fillId="0" borderId="0" xfId="0" applyNumberFormat="1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0" fillId="0" borderId="0" xfId="0" applyAlignment="1">
      <alignment vertical="top" wrapText="1"/>
    </xf>
    <xf numFmtId="1" fontId="21" fillId="0" borderId="0" xfId="0" applyNumberFormat="1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1" fontId="25" fillId="0" borderId="0" xfId="0" applyNumberFormat="1" applyFont="1" applyAlignment="1" applyProtection="1">
      <alignment horizontal="center"/>
    </xf>
    <xf numFmtId="166" fontId="21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170" fontId="8" fillId="0" borderId="0" xfId="0" applyNumberFormat="1" applyFont="1" applyAlignment="1" applyProtection="1">
      <alignment horizontal="center"/>
    </xf>
    <xf numFmtId="0" fontId="63" fillId="4" borderId="2" xfId="0" applyFont="1" applyFill="1" applyBorder="1"/>
    <xf numFmtId="0" fontId="8" fillId="0" borderId="0" xfId="4" applyFont="1" applyAlignment="1">
      <alignment horizontal="left"/>
    </xf>
    <xf numFmtId="0" fontId="8" fillId="0" borderId="0" xfId="4" applyFont="1" applyAlignment="1">
      <alignment horizontal="left" wrapText="1"/>
    </xf>
    <xf numFmtId="0" fontId="86" fillId="0" borderId="0" xfId="4" applyFont="1" applyAlignment="1">
      <alignment horizontal="left"/>
    </xf>
    <xf numFmtId="0" fontId="38" fillId="0" borderId="2" xfId="1" applyFont="1" applyFill="1" applyBorder="1" applyAlignment="1" applyProtection="1">
      <alignment horizontal="center"/>
    </xf>
    <xf numFmtId="0" fontId="72" fillId="0" borderId="0" xfId="0" applyFont="1"/>
    <xf numFmtId="164" fontId="71" fillId="0" borderId="0" xfId="0" applyNumberFormat="1" applyFont="1" applyAlignment="1">
      <alignment horizontal="right" indent="3"/>
    </xf>
    <xf numFmtId="0" fontId="72" fillId="0" borderId="0" xfId="0" applyFont="1" applyBorder="1" applyAlignment="1" applyProtection="1">
      <alignment horizontal="left" wrapText="1"/>
    </xf>
    <xf numFmtId="0" fontId="72" fillId="0" borderId="0" xfId="0" applyFont="1" applyBorder="1" applyAlignment="1" applyProtection="1">
      <alignment horizontal="left"/>
    </xf>
    <xf numFmtId="0" fontId="72" fillId="0" borderId="2" xfId="0" applyFont="1" applyBorder="1" applyAlignment="1" applyProtection="1">
      <alignment horizontal="left"/>
    </xf>
    <xf numFmtId="0" fontId="72" fillId="0" borderId="2" xfId="0" applyFont="1" applyBorder="1" applyAlignment="1">
      <alignment horizontal="left"/>
    </xf>
    <xf numFmtId="0" fontId="72" fillId="0" borderId="2" xfId="0" applyFont="1" applyFill="1" applyBorder="1" applyAlignment="1" applyProtection="1">
      <alignment horizontal="left"/>
    </xf>
    <xf numFmtId="0" fontId="72" fillId="0" borderId="2" xfId="0" applyFont="1" applyFill="1" applyBorder="1" applyAlignment="1" applyProtection="1">
      <alignment horizontal="left" wrapText="1"/>
    </xf>
    <xf numFmtId="49" fontId="72" fillId="0" borderId="2" xfId="0" applyNumberFormat="1" applyFont="1" applyBorder="1"/>
    <xf numFmtId="0" fontId="72" fillId="0" borderId="2" xfId="0" applyFont="1" applyBorder="1" applyAlignment="1">
      <alignment horizontal="center"/>
    </xf>
    <xf numFmtId="0" fontId="72" fillId="0" borderId="2" xfId="0" applyFont="1" applyBorder="1"/>
    <xf numFmtId="0" fontId="72" fillId="0" borderId="2" xfId="1" applyFont="1" applyFill="1" applyBorder="1"/>
    <xf numFmtId="1" fontId="72" fillId="0" borderId="2" xfId="0" applyNumberFormat="1" applyFont="1" applyBorder="1" applyAlignment="1" applyProtection="1">
      <alignment horizontal="center"/>
    </xf>
    <xf numFmtId="1" fontId="72" fillId="0" borderId="2" xfId="0" applyNumberFormat="1" applyFont="1" applyBorder="1" applyAlignment="1" applyProtection="1">
      <alignment horizontal="right"/>
    </xf>
    <xf numFmtId="0" fontId="72" fillId="0" borderId="2" xfId="1" applyFont="1" applyFill="1" applyBorder="1" applyAlignment="1"/>
    <xf numFmtId="1" fontId="15" fillId="0" borderId="0" xfId="0" applyNumberFormat="1" applyFont="1"/>
    <xf numFmtId="1" fontId="15" fillId="0" borderId="0" xfId="0" applyNumberFormat="1" applyFont="1" applyProtection="1"/>
    <xf numFmtId="1" fontId="70" fillId="0" borderId="0" xfId="0" applyNumberFormat="1" applyFont="1" applyAlignment="1" applyProtection="1">
      <alignment horizontal="center"/>
    </xf>
    <xf numFmtId="0" fontId="11" fillId="5" borderId="0" xfId="0" applyFont="1" applyFill="1" applyProtection="1"/>
    <xf numFmtId="0" fontId="72" fillId="5" borderId="2" xfId="0" applyFont="1" applyFill="1" applyBorder="1"/>
    <xf numFmtId="0" fontId="87" fillId="5" borderId="2" xfId="0" applyFont="1" applyFill="1" applyBorder="1"/>
    <xf numFmtId="0" fontId="72" fillId="0" borderId="8" xfId="0" applyFont="1" applyBorder="1"/>
    <xf numFmtId="0" fontId="72" fillId="0" borderId="0" xfId="3" applyFont="1" applyBorder="1" applyAlignment="1">
      <alignment horizontal="left" wrapText="1"/>
    </xf>
    <xf numFmtId="0" fontId="72" fillId="0" borderId="2" xfId="3" applyFont="1" applyBorder="1" applyAlignment="1">
      <alignment horizontal="left"/>
    </xf>
    <xf numFmtId="0" fontId="72" fillId="0" borderId="2" xfId="3" applyFont="1" applyBorder="1" applyAlignment="1">
      <alignment horizontal="left" wrapText="1"/>
    </xf>
    <xf numFmtId="49" fontId="72" fillId="0" borderId="2" xfId="3" applyNumberFormat="1" applyFont="1" applyBorder="1" applyAlignment="1">
      <alignment wrapText="1"/>
    </xf>
    <xf numFmtId="0" fontId="72" fillId="0" borderId="2" xfId="3" applyFont="1" applyBorder="1" applyAlignment="1">
      <alignment wrapText="1"/>
    </xf>
    <xf numFmtId="0" fontId="49" fillId="0" borderId="0" xfId="3" applyFont="1" applyBorder="1" applyAlignment="1">
      <alignment horizontal="left"/>
    </xf>
    <xf numFmtId="49" fontId="72" fillId="0" borderId="2" xfId="1" applyNumberFormat="1" applyFont="1" applyFill="1" applyBorder="1" applyAlignment="1"/>
    <xf numFmtId="0" fontId="72" fillId="0" borderId="2" xfId="1" applyFont="1" applyFill="1" applyBorder="1" applyAlignment="1"/>
    <xf numFmtId="0" fontId="72" fillId="0" borderId="2" xfId="3" applyFont="1" applyBorder="1" applyAlignment="1"/>
    <xf numFmtId="0" fontId="69" fillId="0" borderId="0" xfId="0" applyFont="1" applyAlignment="1">
      <alignment vertical="top" wrapText="1"/>
    </xf>
    <xf numFmtId="0" fontId="73" fillId="0" borderId="0" xfId="0" applyFont="1" applyAlignment="1">
      <alignment horizontal="center" vertical="top" wrapText="1"/>
    </xf>
    <xf numFmtId="0" fontId="70" fillId="0" borderId="0" xfId="0" applyFont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0" fontId="79" fillId="0" borderId="0" xfId="0" applyFont="1" applyAlignment="1">
      <alignment horizontal="center" vertical="top" wrapText="1"/>
    </xf>
    <xf numFmtId="0" fontId="76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 vertical="top" wrapText="1"/>
    </xf>
    <xf numFmtId="0" fontId="78" fillId="0" borderId="0" xfId="0" applyFont="1" applyAlignment="1">
      <alignment horizontal="center" vertical="top" wrapText="1"/>
    </xf>
    <xf numFmtId="0" fontId="75" fillId="0" borderId="0" xfId="0" applyFont="1" applyAlignment="1">
      <alignment horizontal="center" vertical="top" wrapText="1"/>
    </xf>
    <xf numFmtId="0" fontId="14" fillId="0" borderId="0" xfId="0" applyFont="1" applyAlignment="1" applyProtection="1">
      <alignment horizontal="left"/>
    </xf>
    <xf numFmtId="165" fontId="13" fillId="0" borderId="0" xfId="0" applyNumberFormat="1" applyFont="1" applyFill="1" applyBorder="1" applyAlignment="1" applyProtection="1">
      <alignment horizontal="left"/>
    </xf>
  </cellXfs>
  <cellStyles count="23">
    <cellStyle name="Bad" xfId="1" builtinId="27"/>
    <cellStyle name="Currency" xfId="2" builtinId="4"/>
    <cellStyle name="Currency 2" xfId="6"/>
    <cellStyle name="Hyperlink" xfId="5" builtinId="8"/>
    <cellStyle name="Hyperlink 2" xfId="19"/>
    <cellStyle name="Normal" xfId="0" builtinId="0"/>
    <cellStyle name="Normal 2" xfId="3"/>
    <cellStyle name="Normal 2 2" xfId="7"/>
    <cellStyle name="Normal 2 2 2" xfId="11"/>
    <cellStyle name="Normal 2 2 3" xfId="15"/>
    <cellStyle name="Normal 2 2 4" xfId="20"/>
    <cellStyle name="Normal 2 3" xfId="8"/>
    <cellStyle name="Normal 2 3 2" xfId="12"/>
    <cellStyle name="Normal 2 3 3" xfId="16"/>
    <cellStyle name="Normal 2 3 4" xfId="21"/>
    <cellStyle name="Normal 2 4" xfId="9"/>
    <cellStyle name="Normal 2 4 2" xfId="13"/>
    <cellStyle name="Normal 2 4 3" xfId="17"/>
    <cellStyle name="Normal 2 4 4" xfId="22"/>
    <cellStyle name="Normal 2 5" xfId="10"/>
    <cellStyle name="Normal 2 6" xfId="14"/>
    <cellStyle name="Normal 2 7" xfId="18"/>
    <cellStyle name="Normal 3" xfId="4"/>
  </cellStyles>
  <dxfs count="2"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34</xdr:row>
      <xdr:rowOff>9525</xdr:rowOff>
    </xdr:from>
    <xdr:to>
      <xdr:col>46</xdr:col>
      <xdr:colOff>0</xdr:colOff>
      <xdr:row>41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63"/>
  <sheetViews>
    <sheetView tabSelected="1" zoomScale="80" zoomScaleNormal="80" zoomScalePageLayoutView="125" workbookViewId="0"/>
  </sheetViews>
  <sheetFormatPr defaultColWidth="8.88671875" defaultRowHeight="13.2"/>
  <cols>
    <col min="1" max="1" width="59.88671875" customWidth="1"/>
    <col min="2" max="2" width="14.88671875" customWidth="1"/>
    <col min="3" max="3" width="11.88671875" style="3" customWidth="1"/>
    <col min="4" max="4" width="10.44140625" customWidth="1"/>
    <col min="5" max="5" width="12.88671875" customWidth="1"/>
    <col min="6" max="6" width="12.44140625" customWidth="1"/>
    <col min="8" max="8" width="11.44140625" customWidth="1"/>
    <col min="9" max="9" width="15.33203125" customWidth="1"/>
    <col min="10" max="10" width="15.44140625" style="179" customWidth="1"/>
    <col min="11" max="11" width="15.44140625" style="3" customWidth="1"/>
    <col min="12" max="12" width="9.33203125" customWidth="1"/>
    <col min="13" max="13" width="12.44140625" customWidth="1"/>
    <col min="14" max="14" width="11.109375" customWidth="1"/>
    <col min="15" max="15" width="12.44140625" customWidth="1"/>
    <col min="16" max="16" width="15.44140625" customWidth="1"/>
  </cols>
  <sheetData>
    <row r="1" spans="1:19" ht="34.799999999999997">
      <c r="A1" s="415" t="s">
        <v>210</v>
      </c>
      <c r="B1" s="6"/>
      <c r="C1" s="18"/>
      <c r="D1" s="6"/>
      <c r="E1" s="6"/>
      <c r="F1" s="10" t="s">
        <v>162</v>
      </c>
      <c r="G1" s="35"/>
      <c r="H1" s="6"/>
      <c r="I1" s="6"/>
      <c r="J1" s="178"/>
      <c r="K1" s="124" t="s">
        <v>90</v>
      </c>
      <c r="L1" s="6"/>
      <c r="M1" s="6"/>
      <c r="N1" s="6"/>
      <c r="O1" s="6"/>
    </row>
    <row r="2" spans="1:19">
      <c r="A2" s="6"/>
      <c r="B2" s="5" t="s">
        <v>21</v>
      </c>
      <c r="C2" s="5" t="s">
        <v>5</v>
      </c>
      <c r="D2" s="6"/>
      <c r="E2" s="10" t="s">
        <v>47</v>
      </c>
      <c r="F2" s="5" t="s">
        <v>40</v>
      </c>
      <c r="G2" s="35"/>
      <c r="H2" s="6"/>
      <c r="I2" s="6"/>
      <c r="J2" s="73" t="s">
        <v>89</v>
      </c>
      <c r="K2" s="5" t="s">
        <v>79</v>
      </c>
      <c r="L2" s="5" t="s">
        <v>42</v>
      </c>
      <c r="M2" s="10" t="s">
        <v>45</v>
      </c>
      <c r="N2" s="10" t="s">
        <v>63</v>
      </c>
      <c r="O2" s="35" t="s">
        <v>87</v>
      </c>
      <c r="P2" s="25"/>
    </row>
    <row r="3" spans="1:19">
      <c r="A3" s="6"/>
      <c r="B3" s="5" t="s">
        <v>6</v>
      </c>
      <c r="C3" s="5" t="s">
        <v>46</v>
      </c>
      <c r="D3" s="5" t="s">
        <v>65</v>
      </c>
      <c r="E3" s="5" t="s">
        <v>3</v>
      </c>
      <c r="F3" s="33" t="s">
        <v>41</v>
      </c>
      <c r="G3" s="5" t="s">
        <v>4</v>
      </c>
      <c r="H3" s="5" t="s">
        <v>36</v>
      </c>
      <c r="I3" s="2" t="s">
        <v>37</v>
      </c>
      <c r="J3" s="17" t="s">
        <v>78</v>
      </c>
      <c r="K3" s="5" t="s">
        <v>2</v>
      </c>
      <c r="L3" s="5" t="s">
        <v>43</v>
      </c>
      <c r="M3" s="5" t="s">
        <v>3</v>
      </c>
      <c r="N3" s="5" t="s">
        <v>62</v>
      </c>
      <c r="O3" s="5" t="s">
        <v>88</v>
      </c>
      <c r="P3" s="524" t="s">
        <v>256</v>
      </c>
      <c r="S3" s="5"/>
    </row>
    <row r="4" spans="1:19" ht="23.4">
      <c r="A4" s="426" t="s">
        <v>169</v>
      </c>
      <c r="B4" s="495">
        <f>Paper!C55</f>
        <v>77.900000000000006</v>
      </c>
      <c r="C4" s="495">
        <f>Static!B5</f>
        <v>50</v>
      </c>
      <c r="D4" s="496">
        <f>MSRP!L7</f>
        <v>38.497519489723601</v>
      </c>
      <c r="E4" s="495">
        <f>'Subjective Handling '!R4</f>
        <v>31.125</v>
      </c>
      <c r="F4" s="497">
        <f>'Fuel Economy-Endurance  '!E10</f>
        <v>199.99999999999994</v>
      </c>
      <c r="G4" s="495">
        <f>Oral!AV4</f>
        <v>72.884615384615387</v>
      </c>
      <c r="H4" s="495">
        <f>Noise!G5</f>
        <v>124.00178986873885</v>
      </c>
      <c r="I4" s="496">
        <f>Acceleration!E5</f>
        <v>0</v>
      </c>
      <c r="J4" s="495">
        <f>'Lab Emissions'!K5+'Lab Emissions'!O5</f>
        <v>332.47</v>
      </c>
      <c r="K4" s="495">
        <f>'In Service Emissions'!C6+'In Service Emissions'!I6</f>
        <v>100</v>
      </c>
      <c r="L4" s="495">
        <f>'Cold Start'!C4:C16</f>
        <v>0</v>
      </c>
      <c r="M4" s="495">
        <f>'Objective Handling'!E6</f>
        <v>19.161920260374302</v>
      </c>
      <c r="N4" s="495">
        <f>'Penalties and Bonuses'!J4</f>
        <v>100</v>
      </c>
      <c r="O4" s="498">
        <f>0</f>
        <v>0</v>
      </c>
      <c r="P4" s="545">
        <f>SUM(B4:N4)</f>
        <v>1146.040845003452</v>
      </c>
      <c r="S4" s="55"/>
    </row>
    <row r="5" spans="1:19" ht="23.4">
      <c r="A5" s="426" t="s">
        <v>225</v>
      </c>
      <c r="B5" s="495">
        <f>Paper!D55</f>
        <v>57.545454545454547</v>
      </c>
      <c r="C5" s="495">
        <f>Static!B6</f>
        <v>50</v>
      </c>
      <c r="D5" s="496">
        <f>MSRP!L8</f>
        <v>36.783841247342309</v>
      </c>
      <c r="E5" s="495">
        <f>'Subjective Handling '!R5</f>
        <v>38.125</v>
      </c>
      <c r="F5" s="497">
        <f>'Fuel Economy-Endurance  '!E11</f>
        <v>148.25521724255901</v>
      </c>
      <c r="G5" s="495">
        <f>Oral!AV5</f>
        <v>50.871794871794869</v>
      </c>
      <c r="H5" s="495">
        <f>Noise!G6</f>
        <v>180.3578873863147</v>
      </c>
      <c r="I5" s="496">
        <f>Acceleration!E6</f>
        <v>33.333333333333329</v>
      </c>
      <c r="J5" s="495">
        <f>'Lab Emissions'!K6+'Lab Emissions'!O6</f>
        <v>196.65</v>
      </c>
      <c r="K5" s="495">
        <f>'In Service Emissions'!C7+'In Service Emissions'!I7</f>
        <v>79.176273210461289</v>
      </c>
      <c r="L5" s="495">
        <f>'Cold Start'!C5:C17</f>
        <v>0</v>
      </c>
      <c r="M5" s="495">
        <f>'Objective Handling'!E7</f>
        <v>40.683482506102536</v>
      </c>
      <c r="N5" s="495">
        <f>'Penalties and Bonuses'!J5</f>
        <v>0</v>
      </c>
      <c r="O5" s="498">
        <f>0</f>
        <v>0</v>
      </c>
      <c r="P5" s="545">
        <f t="shared" ref="P5:P16" si="0">SUM(B5:N5)</f>
        <v>911.78228434336268</v>
      </c>
      <c r="S5" s="55"/>
    </row>
    <row r="6" spans="1:19" ht="23.4">
      <c r="A6" s="426" t="s">
        <v>228</v>
      </c>
      <c r="B6" s="495">
        <f>Paper!E55</f>
        <v>78.785714285714292</v>
      </c>
      <c r="C6" s="495">
        <f>Static!B7</f>
        <v>50</v>
      </c>
      <c r="D6" s="496">
        <f>MSRP!L9</f>
        <v>39.457122608079381</v>
      </c>
      <c r="E6" s="495">
        <f>'Subjective Handling '!R6</f>
        <v>34.75</v>
      </c>
      <c r="F6" s="497">
        <f>'Fuel Economy-Endurance  '!E12</f>
        <v>172.12837837837839</v>
      </c>
      <c r="G6" s="495">
        <f>Oral!AV6</f>
        <v>64.276315789473685</v>
      </c>
      <c r="H6" s="495">
        <f>Noise!G7</f>
        <v>300</v>
      </c>
      <c r="I6" s="496">
        <f>Acceleration!E7</f>
        <v>9.4771241830065378</v>
      </c>
      <c r="J6" s="495">
        <f>'Lab Emissions'!K7+'Lab Emissions'!O7</f>
        <v>275.32</v>
      </c>
      <c r="K6" s="495">
        <f>'In Service Emissions'!C8+'In Service Emissions'!I8</f>
        <v>72.96563918845311</v>
      </c>
      <c r="L6" s="495">
        <f>'Cold Start'!C6:C18</f>
        <v>0</v>
      </c>
      <c r="M6" s="495">
        <f>'Objective Handling'!E8</f>
        <v>50</v>
      </c>
      <c r="N6" s="495">
        <f>'Penalties and Bonuses'!J6</f>
        <v>95</v>
      </c>
      <c r="O6" s="498">
        <f>0</f>
        <v>0</v>
      </c>
      <c r="P6" s="545">
        <f t="shared" si="0"/>
        <v>1242.1602944331053</v>
      </c>
      <c r="S6" s="55"/>
    </row>
    <row r="7" spans="1:19" s="154" customFormat="1" ht="23.4">
      <c r="A7" s="426" t="s">
        <v>227</v>
      </c>
      <c r="B7" s="495">
        <f>Paper!F55</f>
        <v>73</v>
      </c>
      <c r="C7" s="495">
        <f>Static!B8</f>
        <v>50</v>
      </c>
      <c r="D7" s="496">
        <f>MSRP!L10</f>
        <v>24</v>
      </c>
      <c r="E7" s="495">
        <f>'Subjective Handling '!R7</f>
        <v>0</v>
      </c>
      <c r="F7" s="497">
        <v>0</v>
      </c>
      <c r="G7" s="495">
        <f>Oral!AV7</f>
        <v>71.412499999999994</v>
      </c>
      <c r="H7" s="495">
        <f>Noise!G8</f>
        <v>0</v>
      </c>
      <c r="I7" s="496">
        <f>Acceleration!E8</f>
        <v>0</v>
      </c>
      <c r="J7" s="495">
        <f>'Lab Emissions'!K8+'Lab Emissions'!O8</f>
        <v>0</v>
      </c>
      <c r="K7" s="495">
        <f>'In Service Emissions'!C9+'In Service Emissions'!I9</f>
        <v>0</v>
      </c>
      <c r="L7" s="495">
        <f>'Cold Start'!C7:C19</f>
        <v>0</v>
      </c>
      <c r="M7" s="495">
        <v>0</v>
      </c>
      <c r="N7" s="495">
        <f>'Penalties and Bonuses'!J7</f>
        <v>0</v>
      </c>
      <c r="O7" s="498">
        <f>0</f>
        <v>0</v>
      </c>
      <c r="P7" s="545">
        <f t="shared" si="0"/>
        <v>218.41249999999999</v>
      </c>
      <c r="S7" s="228"/>
    </row>
    <row r="8" spans="1:19" s="154" customFormat="1" ht="23.4">
      <c r="A8" s="426" t="s">
        <v>201</v>
      </c>
      <c r="B8" s="495">
        <f>Paper!G55</f>
        <v>85.909090909090907</v>
      </c>
      <c r="C8" s="495">
        <f>Static!B9</f>
        <v>50</v>
      </c>
      <c r="D8" s="496">
        <f>MSRP!L11</f>
        <v>26.917080085046067</v>
      </c>
      <c r="E8" s="495">
        <f>'Subjective Handling '!R8</f>
        <v>37.666666666666664</v>
      </c>
      <c r="F8" s="497">
        <f>'Fuel Economy-Endurance  '!E14</f>
        <v>168.44722080571131</v>
      </c>
      <c r="G8" s="495">
        <f>Oral!AV8</f>
        <v>65.538461538461533</v>
      </c>
      <c r="H8" s="495">
        <f>Noise!G9</f>
        <v>7.5</v>
      </c>
      <c r="I8" s="496">
        <f>Acceleration!E9</f>
        <v>38.725490196078425</v>
      </c>
      <c r="J8" s="495">
        <f>'Lab Emissions'!K9+'Lab Emissions'!O9</f>
        <v>215.18</v>
      </c>
      <c r="K8" s="495">
        <f>'In Service Emissions'!C10+'In Service Emissions'!I10</f>
        <v>92.001869921013082</v>
      </c>
      <c r="L8" s="495">
        <f>'Cold Start'!C8:C20</f>
        <v>0</v>
      </c>
      <c r="M8" s="495">
        <f>'Objective Handling'!E10</f>
        <v>31.773799837266068</v>
      </c>
      <c r="N8" s="495">
        <f>'Penalties and Bonuses'!J8</f>
        <v>0</v>
      </c>
      <c r="O8" s="498">
        <f>0</f>
        <v>0</v>
      </c>
      <c r="P8" s="545">
        <f t="shared" si="0"/>
        <v>819.65967995933408</v>
      </c>
      <c r="S8" s="228"/>
    </row>
    <row r="9" spans="1:19" s="30" customFormat="1" ht="23.4">
      <c r="A9" s="426" t="s">
        <v>202</v>
      </c>
      <c r="B9" s="460">
        <f>Paper!H55</f>
        <v>77.818181818181813</v>
      </c>
      <c r="C9" s="460">
        <f>Static!B10</f>
        <v>50</v>
      </c>
      <c r="D9" s="496">
        <f>MSRP!L12</f>
        <v>37.533664068036856</v>
      </c>
      <c r="E9" s="495">
        <f>'Subjective Handling '!R9</f>
        <v>0</v>
      </c>
      <c r="F9" s="497" t="str">
        <f>'Fuel Economy-Endurance  '!E15</f>
        <v xml:space="preserve"> </v>
      </c>
      <c r="G9" s="495">
        <f>Oral!AV9</f>
        <v>59.926829268292686</v>
      </c>
      <c r="H9" s="495">
        <f>Noise!G10</f>
        <v>0</v>
      </c>
      <c r="I9" s="496">
        <f>Acceleration!E10</f>
        <v>0</v>
      </c>
      <c r="J9" s="495">
        <f>'Lab Emissions'!K10+'Lab Emissions'!O10</f>
        <v>0</v>
      </c>
      <c r="K9" s="495">
        <f>'In Service Emissions'!C11+'In Service Emissions'!I11</f>
        <v>0</v>
      </c>
      <c r="L9" s="495">
        <f>'Cold Start'!C9:C21</f>
        <v>0</v>
      </c>
      <c r="M9" s="495">
        <v>0</v>
      </c>
      <c r="N9" s="495">
        <f>'Penalties and Bonuses'!J9</f>
        <v>0</v>
      </c>
      <c r="O9" s="498">
        <f>0</f>
        <v>0</v>
      </c>
      <c r="P9" s="545">
        <f t="shared" si="0"/>
        <v>225.27867515451135</v>
      </c>
      <c r="S9" s="261"/>
    </row>
    <row r="10" spans="1:19" ht="23.4">
      <c r="A10" s="426" t="s">
        <v>203</v>
      </c>
      <c r="B10" s="495">
        <f>Paper!I55</f>
        <v>86.727272727272734</v>
      </c>
      <c r="C10" s="495">
        <f>Static!B11</f>
        <v>50</v>
      </c>
      <c r="D10" s="496">
        <f>MSRP!L13</f>
        <v>42.333097094259394</v>
      </c>
      <c r="E10" s="495">
        <f>'Subjective Handling '!R10</f>
        <v>45.666666666666664</v>
      </c>
      <c r="F10" s="497">
        <f>'Fuel Economy-Endurance  '!E16</f>
        <v>177.92346802247789</v>
      </c>
      <c r="G10" s="495">
        <f>Oral!AV10</f>
        <v>78.807692307692307</v>
      </c>
      <c r="H10" s="495">
        <f>Noise!G11</f>
        <v>201.78645881488615</v>
      </c>
      <c r="I10" s="496">
        <f>Acceleration!E11</f>
        <v>49.999999999999986</v>
      </c>
      <c r="J10" s="495">
        <f>'Lab Emissions'!K11+'Lab Emissions'!O11</f>
        <v>68.86</v>
      </c>
      <c r="K10" s="495">
        <f>'In Service Emissions'!C12+'In Service Emissions'!I12</f>
        <v>72.981194740480788</v>
      </c>
      <c r="L10" s="495">
        <f>'Cold Start'!C10:C22</f>
        <v>0</v>
      </c>
      <c r="M10" s="495">
        <f>'Objective Handling'!E12</f>
        <v>30.512611879576895</v>
      </c>
      <c r="N10" s="495">
        <f>'Penalties and Bonuses'!J10</f>
        <v>95</v>
      </c>
      <c r="O10" s="498">
        <f>0</f>
        <v>0</v>
      </c>
      <c r="P10" s="545">
        <f t="shared" si="0"/>
        <v>1000.5984622533128</v>
      </c>
      <c r="S10" s="55"/>
    </row>
    <row r="11" spans="1:19" ht="23.4">
      <c r="A11" s="426" t="s">
        <v>208</v>
      </c>
      <c r="B11" s="495">
        <f>Paper!J55</f>
        <v>63.4</v>
      </c>
      <c r="C11" s="495">
        <f>Static!B12</f>
        <v>50</v>
      </c>
      <c r="D11" s="496">
        <f>MSRP!L14</f>
        <v>42.789510985116941</v>
      </c>
      <c r="E11" s="495">
        <f>'Subjective Handling '!R11</f>
        <v>0</v>
      </c>
      <c r="F11" s="497" t="str">
        <f>'Fuel Economy-Endurance  '!E17</f>
        <v xml:space="preserve"> </v>
      </c>
      <c r="G11" s="495">
        <f>Oral!AV11</f>
        <v>46.789473684210527</v>
      </c>
      <c r="H11" s="495">
        <f>Noise!G12</f>
        <v>0</v>
      </c>
      <c r="I11" s="496">
        <f>Acceleration!E12</f>
        <v>0</v>
      </c>
      <c r="J11" s="495">
        <f>'Lab Emissions'!K12+'Lab Emissions'!O12</f>
        <v>0</v>
      </c>
      <c r="K11" s="495">
        <f>'In Service Emissions'!C13+'In Service Emissions'!I13</f>
        <v>0</v>
      </c>
      <c r="L11" s="495">
        <f>'Cold Start'!C11:C23</f>
        <v>0</v>
      </c>
      <c r="M11" s="495">
        <v>0</v>
      </c>
      <c r="N11" s="495">
        <f>'Penalties and Bonuses'!J11</f>
        <v>0</v>
      </c>
      <c r="O11" s="498">
        <f>0</f>
        <v>0</v>
      </c>
      <c r="P11" s="545">
        <f t="shared" si="0"/>
        <v>202.97898466932747</v>
      </c>
      <c r="S11" s="55"/>
    </row>
    <row r="12" spans="1:19" s="30" customFormat="1" ht="23.4">
      <c r="A12" s="426" t="s">
        <v>207</v>
      </c>
      <c r="B12" s="460">
        <f>Paper!K55</f>
        <v>64.916666666666671</v>
      </c>
      <c r="C12" s="460">
        <f>Static!B13</f>
        <v>50</v>
      </c>
      <c r="D12" s="496">
        <f>MSRP!L15</f>
        <v>20.952515946137495</v>
      </c>
      <c r="E12" s="495">
        <f>'Subjective Handling '!R12</f>
        <v>25.333333333333332</v>
      </c>
      <c r="F12" s="497" t="str">
        <f>'Fuel Economy-Endurance  '!E18</f>
        <v xml:space="preserve"> </v>
      </c>
      <c r="G12" s="495">
        <f>Oral!AV12</f>
        <v>61.612499999999997</v>
      </c>
      <c r="H12" s="495">
        <f>Noise!G13</f>
        <v>68.862736331097111</v>
      </c>
      <c r="I12" s="496">
        <f>Acceleration!E13</f>
        <v>0</v>
      </c>
      <c r="J12" s="495">
        <f>'Lab Emissions'!K13+'Lab Emissions'!O13</f>
        <v>22.5</v>
      </c>
      <c r="K12" s="495">
        <f>'In Service Emissions'!C14+'In Service Emissions'!I14</f>
        <v>2.5</v>
      </c>
      <c r="L12" s="495">
        <f>'Cold Start'!C12:C24</f>
        <v>0</v>
      </c>
      <c r="M12" s="495">
        <f>'Objective Handling'!E14</f>
        <v>2.5</v>
      </c>
      <c r="N12" s="495">
        <f>'Penalties and Bonuses'!J12</f>
        <v>0</v>
      </c>
      <c r="O12" s="498">
        <f>0</f>
        <v>0</v>
      </c>
      <c r="P12" s="545">
        <f t="shared" si="0"/>
        <v>319.17775227723462</v>
      </c>
      <c r="S12" s="261"/>
    </row>
    <row r="13" spans="1:19" s="131" customFormat="1" ht="23.4">
      <c r="A13" s="426" t="s">
        <v>209</v>
      </c>
      <c r="B13" s="495">
        <f>Paper!L55</f>
        <v>66.692307692307693</v>
      </c>
      <c r="C13" s="495">
        <f>Static!B14</f>
        <v>50</v>
      </c>
      <c r="D13" s="496">
        <f>MSRP!L16</f>
        <v>27.961729270021266</v>
      </c>
      <c r="E13" s="495">
        <f>'Subjective Handling '!R13</f>
        <v>0</v>
      </c>
      <c r="F13" s="497" t="str">
        <f>'Fuel Economy-Endurance  '!E19</f>
        <v xml:space="preserve"> </v>
      </c>
      <c r="G13" s="495">
        <f>Oral!AV13</f>
        <v>42.705128205128204</v>
      </c>
      <c r="H13" s="495">
        <f>Noise!G14</f>
        <v>0</v>
      </c>
      <c r="I13" s="496">
        <f>Acceleration!E14</f>
        <v>0</v>
      </c>
      <c r="J13" s="495">
        <f>'Lab Emissions'!K14+'Lab Emissions'!O14</f>
        <v>0</v>
      </c>
      <c r="K13" s="495">
        <f>'In Service Emissions'!C15+'In Service Emissions'!I15</f>
        <v>0</v>
      </c>
      <c r="L13" s="495">
        <f>'Cold Start'!C13:C25</f>
        <v>0</v>
      </c>
      <c r="M13" s="495">
        <v>0</v>
      </c>
      <c r="N13" s="495">
        <f>'Penalties and Bonuses'!J13</f>
        <v>0</v>
      </c>
      <c r="O13" s="498">
        <f>0</f>
        <v>0</v>
      </c>
      <c r="P13" s="545">
        <f t="shared" si="0"/>
        <v>187.35916516745718</v>
      </c>
      <c r="S13" s="144"/>
    </row>
    <row r="14" spans="1:19" ht="23.4">
      <c r="A14" s="426" t="s">
        <v>206</v>
      </c>
      <c r="B14" s="495">
        <f>Paper!M55</f>
        <v>62.846153846153847</v>
      </c>
      <c r="C14" s="495">
        <f>Static!B15</f>
        <v>50</v>
      </c>
      <c r="D14" s="496">
        <f>MSRP!L17</f>
        <v>40.074415308291996</v>
      </c>
      <c r="E14" s="495">
        <f>'Subjective Handling '!R14</f>
        <v>37.5</v>
      </c>
      <c r="F14" s="497">
        <f>'Fuel Economy-Endurance  '!E20</f>
        <v>100.00000000000001</v>
      </c>
      <c r="G14" s="495">
        <f>Oral!AV14</f>
        <v>57.25</v>
      </c>
      <c r="H14" s="495">
        <f>Noise!G15</f>
        <v>37.678296472643702</v>
      </c>
      <c r="I14" s="496">
        <f>Acceleration!E15</f>
        <v>36.437908496732021</v>
      </c>
      <c r="J14" s="495">
        <f>'Lab Emissions'!K15+'Lab Emissions'!O15</f>
        <v>34.85</v>
      </c>
      <c r="K14" s="495">
        <f>'In Service Emissions'!C16+'In Service Emissions'!I16</f>
        <v>2.5</v>
      </c>
      <c r="L14" s="495">
        <f>'Cold Start'!C14:C26</f>
        <v>0</v>
      </c>
      <c r="M14" s="495">
        <f>'Objective Handling'!E16</f>
        <v>41.944670463791709</v>
      </c>
      <c r="N14" s="495">
        <f>'Penalties and Bonuses'!J14</f>
        <v>-5</v>
      </c>
      <c r="O14" s="498">
        <f>0</f>
        <v>0</v>
      </c>
      <c r="P14" s="545">
        <f t="shared" si="0"/>
        <v>496.0814445876133</v>
      </c>
    </row>
    <row r="15" spans="1:19" ht="23.4">
      <c r="A15" s="426" t="s">
        <v>205</v>
      </c>
      <c r="B15" s="495">
        <f>Paper!N55</f>
        <v>63.416666666666664</v>
      </c>
      <c r="C15" s="495">
        <f>Static!B16</f>
        <v>50</v>
      </c>
      <c r="D15" s="496">
        <f>MSRP!L18</f>
        <v>32.983699503897945</v>
      </c>
      <c r="E15" s="495">
        <f>'Subjective Handling '!R15</f>
        <v>44.375</v>
      </c>
      <c r="F15" s="497">
        <f>'Fuel Economy-Endurance  '!E21</f>
        <v>147.53577106518281</v>
      </c>
      <c r="G15" s="495">
        <f>Oral!AV15</f>
        <v>62.654761904761905</v>
      </c>
      <c r="H15" s="495">
        <f>Noise!G16</f>
        <v>102.57321844016744</v>
      </c>
      <c r="I15" s="496">
        <f>Acceleration!E16</f>
        <v>37.745098039215677</v>
      </c>
      <c r="J15" s="495">
        <f>'Lab Emissions'!K16+'Lab Emissions'!O16</f>
        <v>268.03000000000003</v>
      </c>
      <c r="K15" s="495">
        <f>'In Service Emissions'!C17+'In Service Emissions'!I17</f>
        <v>76.414536150488615</v>
      </c>
      <c r="L15" s="495">
        <f>'Cold Start'!C15:C27</f>
        <v>50</v>
      </c>
      <c r="M15" s="495">
        <f>'Objective Handling'!E17</f>
        <v>16.029292107404387</v>
      </c>
      <c r="N15" s="495">
        <f>'Penalties and Bonuses'!J15</f>
        <v>0</v>
      </c>
      <c r="O15" s="498">
        <f>0</f>
        <v>0</v>
      </c>
      <c r="P15" s="545">
        <f t="shared" si="0"/>
        <v>951.75804387778567</v>
      </c>
    </row>
    <row r="16" spans="1:19" ht="23.4">
      <c r="A16" s="426" t="s">
        <v>204</v>
      </c>
      <c r="B16" s="495">
        <f>Paper!O55</f>
        <v>87</v>
      </c>
      <c r="C16" s="495">
        <f>Static!B17</f>
        <v>50</v>
      </c>
      <c r="D16" s="496">
        <f>MSRP!L19</f>
        <v>50</v>
      </c>
      <c r="E16" s="495">
        <f>'Subjective Handling '!R16</f>
        <v>37.625</v>
      </c>
      <c r="F16" s="497">
        <f>'Fuel Economy-Endurance  '!E22</f>
        <v>0</v>
      </c>
      <c r="G16" s="495">
        <f>Oral!AV16</f>
        <v>81.939024390243901</v>
      </c>
      <c r="H16" s="495">
        <f>Noise!G17</f>
        <v>278.57142857142856</v>
      </c>
      <c r="I16" s="496">
        <f>Acceleration!E17</f>
        <v>38.398692810457504</v>
      </c>
      <c r="J16" s="495">
        <f>'Lab Emissions'!K17+'Lab Emissions'!O17</f>
        <v>303.89</v>
      </c>
      <c r="K16" s="495">
        <f>'In Service Emissions'!C18+'In Service Emissions'!I18</f>
        <v>73.169274778295744</v>
      </c>
      <c r="L16" s="495">
        <f>'Cold Start'!C16:C28</f>
        <v>50</v>
      </c>
      <c r="M16" s="495">
        <f>'Objective Handling'!E18</f>
        <v>20.056956875508547</v>
      </c>
      <c r="N16" s="495">
        <f>'Penalties and Bonuses'!J16</f>
        <v>0</v>
      </c>
      <c r="O16" s="498">
        <f>0</f>
        <v>0</v>
      </c>
      <c r="P16" s="545">
        <f t="shared" si="0"/>
        <v>1070.6503774259343</v>
      </c>
    </row>
    <row r="17" spans="1:16" ht="13.8">
      <c r="B17" s="500" t="s">
        <v>44</v>
      </c>
      <c r="C17" s="500" t="s">
        <v>44</v>
      </c>
      <c r="D17" s="500" t="s">
        <v>44</v>
      </c>
      <c r="E17" s="500" t="s">
        <v>44</v>
      </c>
      <c r="F17" s="500" t="s">
        <v>44</v>
      </c>
      <c r="G17" s="500" t="s">
        <v>44</v>
      </c>
      <c r="H17" s="500" t="s">
        <v>44</v>
      </c>
      <c r="I17" s="500" t="s">
        <v>44</v>
      </c>
      <c r="J17" s="500" t="s">
        <v>44</v>
      </c>
      <c r="K17" s="500" t="s">
        <v>44</v>
      </c>
      <c r="L17" s="500" t="s">
        <v>44</v>
      </c>
      <c r="M17" s="500" t="s">
        <v>44</v>
      </c>
      <c r="N17" s="501"/>
      <c r="O17" s="500" t="s">
        <v>44</v>
      </c>
      <c r="P17" s="499"/>
    </row>
    <row r="18" spans="1:16">
      <c r="A18" s="526"/>
      <c r="B18" s="528" t="s">
        <v>19</v>
      </c>
      <c r="C18" s="527" t="s">
        <v>19</v>
      </c>
      <c r="D18" s="527" t="s">
        <v>22</v>
      </c>
      <c r="E18" s="530" t="s">
        <v>44</v>
      </c>
      <c r="F18" s="527" t="s">
        <v>19</v>
      </c>
      <c r="G18" s="529"/>
      <c r="H18" s="529"/>
      <c r="I18" s="60"/>
      <c r="L18" s="49"/>
      <c r="M18" s="32"/>
      <c r="N18" s="9"/>
      <c r="O18" s="6"/>
    </row>
    <row r="19" spans="1:16">
      <c r="A19" s="525"/>
      <c r="B19" s="528" t="s">
        <v>18</v>
      </c>
      <c r="C19" s="528" t="s">
        <v>21</v>
      </c>
      <c r="D19" s="524" t="s">
        <v>23</v>
      </c>
      <c r="E19" s="528"/>
      <c r="F19" s="524" t="s">
        <v>184</v>
      </c>
      <c r="G19" s="528" t="s">
        <v>24</v>
      </c>
      <c r="H19" s="528" t="s">
        <v>26</v>
      </c>
      <c r="L19" s="49"/>
      <c r="M19" s="32"/>
      <c r="N19" s="9"/>
      <c r="O19" s="6"/>
    </row>
    <row r="20" spans="1:16">
      <c r="A20" s="525"/>
      <c r="B20" s="528" t="s">
        <v>20</v>
      </c>
      <c r="C20" s="528" t="s">
        <v>20</v>
      </c>
      <c r="D20" s="524" t="s">
        <v>20</v>
      </c>
      <c r="E20" s="528"/>
      <c r="F20" s="524" t="s">
        <v>20</v>
      </c>
      <c r="G20" s="528" t="s">
        <v>9</v>
      </c>
      <c r="H20" s="528" t="s">
        <v>25</v>
      </c>
      <c r="L20" s="49"/>
      <c r="M20" s="32"/>
      <c r="N20" s="9"/>
      <c r="O20" s="6"/>
    </row>
    <row r="21" spans="1:16" ht="23.4">
      <c r="A21" s="539" t="s">
        <v>169</v>
      </c>
      <c r="B21" s="531" t="str">
        <f>IF(AND(H4&gt;8,J4&gt;69,I4&gt;0),(I4+M4),"Not Eligible")</f>
        <v>Not Eligible</v>
      </c>
      <c r="C21" s="527" t="str">
        <f>IF(AND(J4&gt;69,H4&gt;8,I4&gt;0),(B4+G4+C4),"Not Eligible")</f>
        <v>Not Eligible</v>
      </c>
      <c r="D21" s="531">
        <f>H4+J4+D4</f>
        <v>494.96930935846251</v>
      </c>
      <c r="E21" s="534"/>
      <c r="F21" s="531">
        <f>(E4+F4+I4+L4+M4+D4)</f>
        <v>288.78443975009782</v>
      </c>
      <c r="G21" s="53">
        <f t="shared" ref="G21:G33" si="1">SUM(B4:O4)</f>
        <v>1146.040845003452</v>
      </c>
      <c r="H21" s="524">
        <f t="shared" ref="H21:H33" si="2">RANK(G21,$G$21:$G$33)</f>
        <v>2</v>
      </c>
      <c r="I21" s="147"/>
      <c r="L21" s="49"/>
      <c r="M21" s="32"/>
      <c r="N21" s="19"/>
      <c r="O21" s="6"/>
    </row>
    <row r="22" spans="1:16" ht="23.4">
      <c r="A22" s="539" t="s">
        <v>225</v>
      </c>
      <c r="B22" s="527">
        <f t="shared" ref="B22:B33" si="3">IF(AND(H5&gt;8,J5&gt;69,I5&gt;0),(I5+M5),"Not Eligible")</f>
        <v>74.016815839435864</v>
      </c>
      <c r="C22" s="531">
        <f t="shared" ref="C22:C33" si="4">IF(AND(J5&gt;69,H5&gt;8,I5&gt;0),(B5+G5+C5),"Not Eligible")</f>
        <v>158.41724941724942</v>
      </c>
      <c r="D22" s="531">
        <f t="shared" ref="D22:D33" si="5">H5+J5+D5</f>
        <v>413.79172863365699</v>
      </c>
      <c r="E22" s="534"/>
      <c r="F22" s="531">
        <f t="shared" ref="F22:F33" si="6">(E5+F5+I5+L5+M5+D5)</f>
        <v>297.1808743293372</v>
      </c>
      <c r="G22" s="53">
        <f t="shared" si="1"/>
        <v>911.78228434336268</v>
      </c>
      <c r="H22" s="524">
        <f t="shared" si="2"/>
        <v>6</v>
      </c>
      <c r="L22" s="49"/>
      <c r="M22" s="32"/>
      <c r="N22" s="19"/>
      <c r="O22" s="6"/>
    </row>
    <row r="23" spans="1:16" s="154" customFormat="1" ht="23.4">
      <c r="A23" s="539" t="s">
        <v>228</v>
      </c>
      <c r="B23" s="531">
        <f t="shared" si="3"/>
        <v>59.477124183006538</v>
      </c>
      <c r="C23" s="531">
        <f t="shared" si="4"/>
        <v>193.06203007518798</v>
      </c>
      <c r="D23" s="531">
        <f t="shared" si="5"/>
        <v>614.77712260807937</v>
      </c>
      <c r="E23" s="534"/>
      <c r="F23" s="531">
        <f t="shared" si="6"/>
        <v>305.8126251694643</v>
      </c>
      <c r="G23" s="53">
        <f t="shared" si="1"/>
        <v>1242.1602944331053</v>
      </c>
      <c r="H23" s="524">
        <v>1</v>
      </c>
      <c r="I23" s="283"/>
      <c r="J23" s="235"/>
      <c r="K23" s="220"/>
      <c r="L23" s="236"/>
      <c r="M23" s="233"/>
      <c r="N23" s="237"/>
      <c r="O23" s="225"/>
    </row>
    <row r="24" spans="1:16" ht="23.4">
      <c r="A24" s="539" t="s">
        <v>200</v>
      </c>
      <c r="B24" s="531" t="str">
        <f t="shared" si="3"/>
        <v>Not Eligible</v>
      </c>
      <c r="C24" s="531" t="str">
        <f t="shared" si="4"/>
        <v>Not Eligible</v>
      </c>
      <c r="D24" s="531">
        <f t="shared" si="5"/>
        <v>24</v>
      </c>
      <c r="E24" s="534"/>
      <c r="F24" s="531">
        <f t="shared" si="6"/>
        <v>24</v>
      </c>
      <c r="G24" s="53">
        <f t="shared" si="1"/>
        <v>218.41249999999999</v>
      </c>
      <c r="H24" s="524">
        <f t="shared" si="2"/>
        <v>11</v>
      </c>
      <c r="L24" s="49"/>
      <c r="M24" s="32"/>
      <c r="N24" s="19"/>
      <c r="O24" s="6"/>
    </row>
    <row r="25" spans="1:16" ht="23.4">
      <c r="A25" s="539" t="s">
        <v>201</v>
      </c>
      <c r="B25" s="531" t="str">
        <f t="shared" si="3"/>
        <v>Not Eligible</v>
      </c>
      <c r="C25" s="531" t="str">
        <f t="shared" si="4"/>
        <v>Not Eligible</v>
      </c>
      <c r="D25" s="531">
        <f t="shared" si="5"/>
        <v>249.59708008504606</v>
      </c>
      <c r="E25" s="534"/>
      <c r="F25" s="531">
        <f t="shared" si="6"/>
        <v>303.53025759076849</v>
      </c>
      <c r="G25" s="53">
        <f t="shared" si="1"/>
        <v>819.65967995933408</v>
      </c>
      <c r="H25" s="524">
        <f t="shared" si="2"/>
        <v>7</v>
      </c>
      <c r="L25" s="49"/>
      <c r="M25" s="32"/>
      <c r="N25" s="19"/>
      <c r="O25" s="6"/>
    </row>
    <row r="26" spans="1:16" ht="23.4">
      <c r="A26" s="539" t="s">
        <v>202</v>
      </c>
      <c r="B26" s="531" t="str">
        <f t="shared" si="3"/>
        <v>Not Eligible</v>
      </c>
      <c r="C26" s="531" t="str">
        <f t="shared" si="4"/>
        <v>Not Eligible</v>
      </c>
      <c r="D26" s="531">
        <f t="shared" si="5"/>
        <v>37.533664068036856</v>
      </c>
      <c r="E26" s="534"/>
      <c r="F26" s="531"/>
      <c r="G26" s="53">
        <f t="shared" si="1"/>
        <v>225.27867515451135</v>
      </c>
      <c r="H26" s="524">
        <f t="shared" si="2"/>
        <v>10</v>
      </c>
      <c r="I26" s="147"/>
      <c r="L26" s="49"/>
      <c r="M26" s="32"/>
      <c r="N26" s="19"/>
      <c r="O26" s="6"/>
    </row>
    <row r="27" spans="1:16" ht="23.4">
      <c r="A27" s="539" t="s">
        <v>203</v>
      </c>
      <c r="B27" s="531" t="str">
        <f t="shared" si="3"/>
        <v>Not Eligible</v>
      </c>
      <c r="C27" s="531" t="str">
        <f t="shared" si="4"/>
        <v>Not Eligible</v>
      </c>
      <c r="D27" s="531">
        <f t="shared" si="5"/>
        <v>312.97955590914557</v>
      </c>
      <c r="E27" s="534"/>
      <c r="F27" s="527">
        <f t="shared" si="6"/>
        <v>346.4358436629808</v>
      </c>
      <c r="G27" s="53">
        <f t="shared" si="1"/>
        <v>1000.5984622533128</v>
      </c>
      <c r="H27" s="524">
        <f t="shared" si="2"/>
        <v>4</v>
      </c>
      <c r="L27" s="49"/>
      <c r="M27" s="32"/>
      <c r="N27" s="19"/>
      <c r="O27" s="6"/>
    </row>
    <row r="28" spans="1:16" ht="23.4">
      <c r="A28" s="539" t="s">
        <v>208</v>
      </c>
      <c r="B28" s="531" t="str">
        <f t="shared" si="3"/>
        <v>Not Eligible</v>
      </c>
      <c r="C28" s="531" t="str">
        <f t="shared" si="4"/>
        <v>Not Eligible</v>
      </c>
      <c r="D28" s="531">
        <f t="shared" si="5"/>
        <v>42.789510985116941</v>
      </c>
      <c r="E28" s="534"/>
      <c r="F28" s="531"/>
      <c r="G28" s="53">
        <f t="shared" si="1"/>
        <v>202.97898466932747</v>
      </c>
      <c r="H28" s="524">
        <f t="shared" si="2"/>
        <v>12</v>
      </c>
      <c r="L28" s="49"/>
      <c r="M28" s="32"/>
      <c r="N28" s="19"/>
      <c r="O28" s="6"/>
    </row>
    <row r="29" spans="1:16" ht="23.4">
      <c r="A29" s="539" t="s">
        <v>207</v>
      </c>
      <c r="B29" s="531" t="str">
        <f t="shared" si="3"/>
        <v>Not Eligible</v>
      </c>
      <c r="C29" s="531" t="str">
        <f t="shared" si="4"/>
        <v>Not Eligible</v>
      </c>
      <c r="D29" s="531">
        <f t="shared" si="5"/>
        <v>112.31525227723461</v>
      </c>
      <c r="E29" s="534"/>
      <c r="F29" s="531"/>
      <c r="G29" s="53">
        <f t="shared" si="1"/>
        <v>319.17775227723462</v>
      </c>
      <c r="H29" s="524">
        <f t="shared" si="2"/>
        <v>9</v>
      </c>
      <c r="L29" s="49"/>
      <c r="M29" s="32"/>
      <c r="N29" s="19"/>
      <c r="O29" s="6"/>
    </row>
    <row r="30" spans="1:16" s="154" customFormat="1" ht="23.4">
      <c r="A30" s="539" t="s">
        <v>209</v>
      </c>
      <c r="B30" s="531" t="str">
        <f t="shared" si="3"/>
        <v>Not Eligible</v>
      </c>
      <c r="C30" s="531" t="str">
        <f t="shared" si="4"/>
        <v>Not Eligible</v>
      </c>
      <c r="D30" s="531">
        <f t="shared" si="5"/>
        <v>27.961729270021266</v>
      </c>
      <c r="E30" s="534"/>
      <c r="F30" s="531"/>
      <c r="G30" s="53">
        <f t="shared" si="1"/>
        <v>187.35916516745718</v>
      </c>
      <c r="H30" s="524">
        <f t="shared" si="2"/>
        <v>13</v>
      </c>
      <c r="I30" s="283"/>
      <c r="J30" s="235"/>
      <c r="K30" s="220"/>
      <c r="L30" s="236"/>
      <c r="M30" s="233"/>
      <c r="N30" s="237"/>
      <c r="O30" s="225"/>
    </row>
    <row r="31" spans="1:16" ht="23.4">
      <c r="A31" s="539" t="s">
        <v>206</v>
      </c>
      <c r="B31" s="527" t="str">
        <f t="shared" si="3"/>
        <v>Not Eligible</v>
      </c>
      <c r="C31" s="531" t="str">
        <f t="shared" si="4"/>
        <v>Not Eligible</v>
      </c>
      <c r="D31" s="531">
        <f t="shared" si="5"/>
        <v>112.60271178093569</v>
      </c>
      <c r="E31" s="534"/>
      <c r="F31" s="531">
        <f t="shared" si="6"/>
        <v>255.95699426881572</v>
      </c>
      <c r="G31" s="53">
        <f t="shared" si="1"/>
        <v>496.0814445876133</v>
      </c>
      <c r="H31" s="524">
        <f t="shared" si="2"/>
        <v>8</v>
      </c>
      <c r="L31" s="49"/>
      <c r="M31" s="32"/>
      <c r="N31" s="19"/>
      <c r="O31" s="6"/>
    </row>
    <row r="32" spans="1:16" ht="23.4">
      <c r="A32" s="539" t="s">
        <v>205</v>
      </c>
      <c r="B32" s="531">
        <f t="shared" si="3"/>
        <v>53.774390146620064</v>
      </c>
      <c r="C32" s="531">
        <f t="shared" si="4"/>
        <v>176.07142857142856</v>
      </c>
      <c r="D32" s="531">
        <f t="shared" si="5"/>
        <v>403.58691794406536</v>
      </c>
      <c r="E32" s="534"/>
      <c r="F32" s="531">
        <f t="shared" si="6"/>
        <v>328.66886071570082</v>
      </c>
      <c r="G32" s="53">
        <f t="shared" si="1"/>
        <v>951.75804387778567</v>
      </c>
      <c r="H32" s="524">
        <f t="shared" si="2"/>
        <v>5</v>
      </c>
      <c r="L32" s="49"/>
      <c r="M32" s="32"/>
      <c r="N32" s="19"/>
      <c r="O32" s="6"/>
    </row>
    <row r="33" spans="1:15" ht="23.4">
      <c r="A33" s="539" t="s">
        <v>204</v>
      </c>
      <c r="B33" s="531">
        <f t="shared" si="3"/>
        <v>58.455649685966051</v>
      </c>
      <c r="C33" s="527">
        <f t="shared" si="4"/>
        <v>218.9390243902439</v>
      </c>
      <c r="D33" s="527">
        <f t="shared" si="5"/>
        <v>632.46142857142854</v>
      </c>
      <c r="E33" s="534"/>
      <c r="F33" s="531">
        <f t="shared" si="6"/>
        <v>196.08064968596605</v>
      </c>
      <c r="G33" s="53">
        <f t="shared" si="1"/>
        <v>1070.6503774259343</v>
      </c>
      <c r="H33" s="524">
        <f t="shared" si="2"/>
        <v>3</v>
      </c>
    </row>
    <row r="34" spans="1:15" s="60" customFormat="1">
      <c r="A34" s="532"/>
      <c r="B34" s="533"/>
      <c r="C34" s="533"/>
      <c r="D34" s="533"/>
      <c r="E34" s="536"/>
      <c r="F34" s="533"/>
      <c r="G34" s="535"/>
      <c r="H34" s="537"/>
      <c r="I34" s="61"/>
      <c r="J34" s="34"/>
      <c r="K34" s="124"/>
      <c r="L34" s="61"/>
      <c r="M34" s="61"/>
      <c r="N34" s="61"/>
      <c r="O34" s="35"/>
    </row>
    <row r="35" spans="1:15" s="60" customFormat="1">
      <c r="A35" s="532"/>
      <c r="B35" s="531">
        <f>MAX(B21:B33)</f>
        <v>74.016815839435864</v>
      </c>
      <c r="C35" s="531">
        <f>MAX(C21:C33)</f>
        <v>218.9390243902439</v>
      </c>
      <c r="D35" s="531">
        <f>MAX(D21:D33)</f>
        <v>632.46142857142854</v>
      </c>
      <c r="E35" s="538"/>
      <c r="F35" s="531">
        <f>MAX(F21:F33)</f>
        <v>346.4358436629808</v>
      </c>
      <c r="G35" s="535"/>
      <c r="H35" s="537"/>
      <c r="I35" s="61"/>
      <c r="J35" s="34"/>
      <c r="K35" s="124"/>
      <c r="L35" s="61"/>
      <c r="M35" s="61"/>
      <c r="N35" s="61"/>
      <c r="O35" s="35"/>
    </row>
    <row r="36" spans="1:15" s="60" customFormat="1" ht="14.4">
      <c r="A36" s="380" t="s">
        <v>44</v>
      </c>
      <c r="C36" s="150"/>
      <c r="F36" s="73"/>
      <c r="G36" s="34"/>
      <c r="H36" s="61"/>
      <c r="I36" s="61"/>
      <c r="J36" s="34"/>
      <c r="K36" s="124"/>
      <c r="L36" s="61"/>
      <c r="M36" s="61"/>
      <c r="N36" s="61"/>
      <c r="O36" s="35"/>
    </row>
    <row r="37" spans="1:15" s="60" customFormat="1" ht="31.2">
      <c r="A37" s="546" t="s">
        <v>167</v>
      </c>
      <c r="B37" s="566" t="s">
        <v>264</v>
      </c>
      <c r="C37" s="566"/>
      <c r="D37" s="566"/>
      <c r="E37" s="566"/>
      <c r="F37" s="73"/>
      <c r="G37" s="34"/>
      <c r="H37" s="61"/>
      <c r="I37" s="35"/>
      <c r="J37" s="180"/>
      <c r="K37" s="124"/>
      <c r="L37" s="35"/>
      <c r="M37" s="35"/>
      <c r="N37" s="35"/>
      <c r="O37" s="35"/>
    </row>
    <row r="38" spans="1:15" s="60" customFormat="1" ht="20.25" customHeight="1">
      <c r="A38" s="547" t="s">
        <v>121</v>
      </c>
      <c r="B38" s="564" t="s">
        <v>265</v>
      </c>
      <c r="C38" s="544"/>
      <c r="D38" s="544"/>
      <c r="E38" s="544"/>
      <c r="F38" s="73"/>
      <c r="G38" s="27"/>
      <c r="H38" s="61"/>
      <c r="I38" s="35"/>
      <c r="J38" s="180"/>
      <c r="K38" s="124"/>
      <c r="L38" s="35"/>
      <c r="M38" s="35"/>
      <c r="N38" s="35"/>
      <c r="O38" s="35"/>
    </row>
    <row r="39" spans="1:15" s="60" customFormat="1" ht="19.5" customHeight="1">
      <c r="A39" s="547" t="s">
        <v>122</v>
      </c>
      <c r="B39" s="565" t="str">
        <f>A16</f>
        <v>#14 Univ of Minnesota-Duluth</v>
      </c>
      <c r="C39" s="544"/>
      <c r="D39" s="544"/>
      <c r="E39" s="544"/>
      <c r="F39" s="571"/>
      <c r="G39" s="571"/>
      <c r="H39" s="571"/>
      <c r="I39" s="571"/>
      <c r="J39" s="180"/>
      <c r="K39" s="124"/>
      <c r="L39" s="35"/>
      <c r="M39" s="35"/>
      <c r="N39" s="35"/>
      <c r="O39" s="35"/>
    </row>
    <row r="40" spans="1:15" s="60" customFormat="1" ht="14.4" customHeight="1">
      <c r="A40" s="548" t="s">
        <v>196</v>
      </c>
      <c r="B40" s="568" t="str">
        <f>A5</f>
        <v>#2 Clarkson University</v>
      </c>
      <c r="C40" s="568"/>
      <c r="D40" s="568"/>
      <c r="E40" s="568"/>
      <c r="F40" s="73"/>
      <c r="G40" s="35"/>
      <c r="H40" s="35"/>
      <c r="I40" s="35"/>
      <c r="J40" s="180"/>
      <c r="K40" s="124"/>
      <c r="L40" s="35"/>
      <c r="M40" s="35"/>
      <c r="N40" s="35"/>
      <c r="O40" s="35"/>
    </row>
    <row r="41" spans="1:15" s="60" customFormat="1" ht="14.4" customHeight="1">
      <c r="A41" s="548" t="s">
        <v>84</v>
      </c>
      <c r="B41" s="567" t="str">
        <f>A21</f>
        <v>#1 Univ of Wisconsin-Madison</v>
      </c>
      <c r="C41" s="567"/>
      <c r="D41" s="567"/>
      <c r="E41" s="567"/>
      <c r="F41" s="73"/>
      <c r="G41" s="35"/>
      <c r="H41" s="35"/>
      <c r="I41" s="35"/>
      <c r="J41" s="180"/>
      <c r="K41" s="124"/>
      <c r="L41" s="35"/>
      <c r="M41" s="35"/>
      <c r="N41" s="35"/>
      <c r="O41" s="35"/>
    </row>
    <row r="42" spans="1:15" ht="14.4" customHeight="1">
      <c r="A42" s="549" t="s">
        <v>85</v>
      </c>
      <c r="B42" s="568" t="str">
        <f>A21</f>
        <v>#1 Univ of Wisconsin-Madison</v>
      </c>
      <c r="C42" s="568"/>
      <c r="D42" s="568"/>
      <c r="E42" s="568"/>
      <c r="F42" s="73"/>
      <c r="J42" s="559"/>
    </row>
    <row r="43" spans="1:15" s="60" customFormat="1" ht="14.4" customHeight="1">
      <c r="A43" s="548" t="s">
        <v>66</v>
      </c>
      <c r="B43" s="568" t="str">
        <f>+A33</f>
        <v>#14 Univ of Minnesota-Duluth</v>
      </c>
      <c r="C43" s="568"/>
      <c r="D43" s="568"/>
      <c r="E43" s="568"/>
      <c r="F43" s="73"/>
      <c r="G43" s="35"/>
      <c r="H43" s="35"/>
      <c r="I43" s="562"/>
      <c r="J43" s="180"/>
      <c r="K43" s="124"/>
      <c r="L43" s="35"/>
      <c r="M43" s="35"/>
      <c r="N43" s="35"/>
      <c r="O43" s="35"/>
    </row>
    <row r="44" spans="1:15" s="60" customFormat="1" ht="14.4" customHeight="1">
      <c r="A44" s="548" t="s">
        <v>67</v>
      </c>
      <c r="B44" s="569" t="s">
        <v>169</v>
      </c>
      <c r="C44" s="570"/>
      <c r="D44" s="570"/>
      <c r="E44" s="570"/>
      <c r="F44" s="561"/>
      <c r="G44" s="35"/>
      <c r="H44" s="35"/>
      <c r="I44" s="35"/>
      <c r="J44" s="560"/>
      <c r="K44" s="124"/>
      <c r="L44" s="35"/>
      <c r="M44" s="35"/>
      <c r="N44" s="35"/>
      <c r="O44" s="35"/>
    </row>
    <row r="45" spans="1:15" s="60" customFormat="1" ht="14.4" customHeight="1">
      <c r="A45" s="548" t="s">
        <v>197</v>
      </c>
      <c r="B45" s="570" t="str">
        <f>A6</f>
        <v>#3 École De Technologie Supérieure</v>
      </c>
      <c r="C45" s="570"/>
      <c r="D45" s="570"/>
      <c r="E45" s="570"/>
      <c r="F45" s="73"/>
      <c r="G45" s="35"/>
      <c r="H45" s="35"/>
      <c r="I45" s="35"/>
      <c r="J45" s="180"/>
      <c r="K45" s="124"/>
      <c r="L45" s="35"/>
      <c r="M45" s="35"/>
      <c r="N45" s="35"/>
      <c r="O45" s="35"/>
    </row>
    <row r="46" spans="1:15" ht="14.4" customHeight="1">
      <c r="A46" s="548" t="s">
        <v>68</v>
      </c>
      <c r="B46" s="570" t="s">
        <v>204</v>
      </c>
      <c r="C46" s="570"/>
      <c r="D46" s="570"/>
      <c r="E46" s="570"/>
      <c r="F46" s="73"/>
      <c r="G46" s="35"/>
      <c r="H46" s="35"/>
      <c r="I46" s="6"/>
      <c r="J46" s="178"/>
      <c r="K46" s="18"/>
      <c r="L46" s="6"/>
      <c r="M46" s="6"/>
      <c r="N46" s="6"/>
      <c r="O46" s="6"/>
    </row>
    <row r="47" spans="1:15" ht="18" customHeight="1">
      <c r="A47" s="550" t="s">
        <v>71</v>
      </c>
      <c r="B47" s="574" t="str">
        <f>A10</f>
        <v>#7 Univ of Idaho</v>
      </c>
      <c r="C47" s="574"/>
      <c r="D47" s="574"/>
      <c r="E47" s="574"/>
      <c r="F47" s="73"/>
      <c r="G47" s="6"/>
      <c r="H47" s="6"/>
    </row>
    <row r="48" spans="1:15" ht="15.6">
      <c r="A48" s="550" t="s">
        <v>69</v>
      </c>
      <c r="B48" s="574" t="str">
        <f>A6</f>
        <v>#3 École De Technologie Supérieure</v>
      </c>
      <c r="C48" s="574"/>
      <c r="D48" s="574"/>
      <c r="E48" s="574"/>
      <c r="F48" s="73"/>
    </row>
    <row r="49" spans="1:11" ht="15.6">
      <c r="A49" s="548" t="s">
        <v>124</v>
      </c>
      <c r="B49" s="572" t="s">
        <v>227</v>
      </c>
      <c r="C49" s="573"/>
      <c r="D49" s="573"/>
      <c r="E49" s="573"/>
      <c r="F49" s="17"/>
    </row>
    <row r="50" spans="1:11" ht="15.6">
      <c r="A50" s="549" t="s">
        <v>168</v>
      </c>
      <c r="B50" s="573" t="str">
        <f>A33</f>
        <v>#14 Univ of Minnesota-Duluth</v>
      </c>
      <c r="C50" s="573"/>
      <c r="D50" s="573"/>
      <c r="E50" s="573"/>
      <c r="F50" s="73"/>
    </row>
    <row r="51" spans="1:11" ht="15.6">
      <c r="A51" s="549" t="s">
        <v>123</v>
      </c>
      <c r="B51" s="574" t="str">
        <f>A6</f>
        <v>#3 École De Technologie Supérieure</v>
      </c>
      <c r="C51" s="574"/>
      <c r="D51" s="574"/>
      <c r="E51" s="574"/>
    </row>
    <row r="52" spans="1:11" ht="31.2">
      <c r="A52" s="551" t="s">
        <v>261</v>
      </c>
      <c r="B52" s="563" t="str">
        <f>A33</f>
        <v>#14 Univ of Minnesota-Duluth</v>
      </c>
      <c r="C52" s="558"/>
      <c r="D52" s="558"/>
      <c r="E52" s="558"/>
      <c r="F52" s="73"/>
    </row>
    <row r="53" spans="1:11" ht="31.2">
      <c r="A53" s="551" t="s">
        <v>260</v>
      </c>
      <c r="B53" s="572" t="s">
        <v>259</v>
      </c>
      <c r="C53" s="573"/>
      <c r="D53" s="573"/>
      <c r="E53" s="573"/>
      <c r="F53" s="423" t="s">
        <v>44</v>
      </c>
      <c r="G53" s="122"/>
      <c r="H53" s="122"/>
      <c r="I53" s="122"/>
    </row>
    <row r="54" spans="1:11" ht="15.6">
      <c r="A54" s="550" t="s">
        <v>266</v>
      </c>
      <c r="B54" s="552" t="s">
        <v>258</v>
      </c>
      <c r="C54" s="553"/>
      <c r="D54" s="554"/>
      <c r="E54" s="554"/>
    </row>
    <row r="55" spans="1:11" s="122" customFormat="1" ht="15.6">
      <c r="A55" s="549" t="s">
        <v>195</v>
      </c>
      <c r="B55" s="555" t="s">
        <v>257</v>
      </c>
      <c r="C55" s="556"/>
      <c r="D55" s="557"/>
      <c r="E55" s="557"/>
      <c r="F55" s="392"/>
      <c r="J55" s="424"/>
      <c r="K55" s="2"/>
    </row>
    <row r="56" spans="1:11" s="1" customFormat="1" ht="14.4">
      <c r="A56" s="297"/>
      <c r="B56" s="325"/>
      <c r="C56" s="17"/>
      <c r="D56" s="27"/>
      <c r="E56" s="72"/>
      <c r="F56" s="73"/>
      <c r="J56" s="182"/>
      <c r="K56" s="56"/>
    </row>
    <row r="57" spans="1:11" s="1" customFormat="1">
      <c r="A57" s="183"/>
      <c r="B57" s="326"/>
      <c r="C57" s="327"/>
      <c r="J57" s="182"/>
      <c r="K57" s="56"/>
    </row>
    <row r="58" spans="1:11" s="1" customFormat="1">
      <c r="A58" s="183"/>
      <c r="C58" s="56"/>
      <c r="J58" s="182"/>
      <c r="K58" s="56"/>
    </row>
    <row r="59" spans="1:11" s="1" customFormat="1">
      <c r="A59" s="183"/>
      <c r="C59" s="56"/>
      <c r="J59" s="182"/>
      <c r="K59" s="56"/>
    </row>
    <row r="60" spans="1:11" s="1" customFormat="1">
      <c r="A60" s="183"/>
      <c r="C60" s="56"/>
      <c r="J60" s="182"/>
      <c r="K60" s="56"/>
    </row>
    <row r="61" spans="1:11" s="1" customFormat="1">
      <c r="A61" s="183"/>
      <c r="C61" s="56"/>
      <c r="J61" s="182"/>
      <c r="K61" s="56"/>
    </row>
    <row r="62" spans="1:11" s="1" customFormat="1">
      <c r="A62" s="183"/>
      <c r="C62" s="56"/>
      <c r="J62" s="182"/>
      <c r="K62" s="56"/>
    </row>
    <row r="63" spans="1:11" s="1" customFormat="1">
      <c r="A63" s="183"/>
      <c r="C63" s="56"/>
      <c r="J63" s="182"/>
      <c r="K63" s="56"/>
    </row>
  </sheetData>
  <mergeCells count="15">
    <mergeCell ref="B46:E46"/>
    <mergeCell ref="B45:E45"/>
    <mergeCell ref="F39:I39"/>
    <mergeCell ref="B40:E40"/>
    <mergeCell ref="B53:E53"/>
    <mergeCell ref="B47:E47"/>
    <mergeCell ref="B48:E48"/>
    <mergeCell ref="B49:E49"/>
    <mergeCell ref="B50:E50"/>
    <mergeCell ref="B51:E51"/>
    <mergeCell ref="B37:E37"/>
    <mergeCell ref="B41:E41"/>
    <mergeCell ref="B42:E42"/>
    <mergeCell ref="B43:E43"/>
    <mergeCell ref="B44:E44"/>
  </mergeCells>
  <phoneticPr fontId="24" type="noConversion"/>
  <printOptions gridLines="1"/>
  <pageMargins left="0.75" right="0.75" top="1" bottom="1" header="0.5" footer="0.5"/>
  <pageSetup scale="54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97"/>
  <sheetViews>
    <sheetView zoomScale="97" zoomScaleNormal="97" zoomScalePageLayoutView="125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I24" sqref="I24"/>
    </sheetView>
  </sheetViews>
  <sheetFormatPr defaultColWidth="8.88671875" defaultRowHeight="13.2"/>
  <cols>
    <col min="1" max="1" width="56.5546875" customWidth="1"/>
    <col min="2" max="3" width="12.44140625" style="283" customWidth="1"/>
    <col min="4" max="4" width="8.44140625" style="283" customWidth="1"/>
    <col min="5" max="5" width="12.44140625" style="283" customWidth="1"/>
    <col min="6" max="6" width="10.6640625" style="283" customWidth="1"/>
    <col min="7" max="8" width="12.44140625" style="283" customWidth="1"/>
    <col min="9" max="9" width="9.33203125" customWidth="1"/>
    <col min="10" max="10" width="9.33203125" style="319" customWidth="1"/>
    <col min="11" max="11" width="9.5546875" customWidth="1"/>
    <col min="12" max="12" width="10.5546875" customWidth="1"/>
    <col min="13" max="13" width="10" customWidth="1"/>
    <col min="14" max="14" width="9.10937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38" customWidth="1"/>
    <col min="25" max="25" width="10" style="38" customWidth="1"/>
    <col min="26" max="27" width="8.6640625" style="38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35.4" thickBot="1">
      <c r="A1" s="413" t="s">
        <v>219</v>
      </c>
      <c r="B1" s="7"/>
      <c r="C1" s="225"/>
      <c r="D1" s="225"/>
      <c r="E1" s="225"/>
      <c r="F1" s="225"/>
      <c r="G1" s="225"/>
      <c r="H1" s="225"/>
      <c r="I1" s="21"/>
      <c r="J1" s="311" t="s">
        <v>91</v>
      </c>
      <c r="K1" s="192"/>
      <c r="L1" s="192"/>
      <c r="M1" s="21"/>
      <c r="N1" s="191" t="s">
        <v>92</v>
      </c>
      <c r="O1" s="192"/>
      <c r="P1" s="192"/>
      <c r="Q1" s="28"/>
      <c r="R1" s="111"/>
      <c r="S1" s="76"/>
      <c r="T1" s="77"/>
      <c r="U1" s="77"/>
      <c r="V1" s="77"/>
      <c r="W1" s="77"/>
      <c r="X1" s="77"/>
      <c r="Y1" s="77"/>
      <c r="Z1" s="77"/>
      <c r="AA1" s="77"/>
      <c r="AB1" s="78"/>
      <c r="AC1" s="79"/>
      <c r="AD1" s="80"/>
      <c r="AE1" s="56"/>
      <c r="AF1" s="1"/>
      <c r="AG1" s="1"/>
      <c r="AH1" s="1"/>
    </row>
    <row r="2" spans="1:37" ht="18" thickBot="1">
      <c r="A2" s="351"/>
      <c r="B2" s="7"/>
      <c r="C2" s="225"/>
      <c r="D2" s="225"/>
      <c r="E2" s="225"/>
      <c r="F2" s="225"/>
      <c r="G2" s="225"/>
      <c r="H2" s="241"/>
      <c r="I2" s="24"/>
      <c r="J2" s="312" t="s">
        <v>93</v>
      </c>
      <c r="K2" s="193"/>
      <c r="L2" s="194"/>
      <c r="M2" s="21"/>
      <c r="N2" s="195" t="s">
        <v>94</v>
      </c>
      <c r="O2" s="193"/>
      <c r="P2" s="194"/>
      <c r="Q2" s="48"/>
      <c r="R2" s="113"/>
      <c r="S2" s="83"/>
      <c r="T2" s="83"/>
      <c r="U2" s="77"/>
      <c r="V2" s="77"/>
      <c r="W2" s="77"/>
      <c r="X2" s="77"/>
      <c r="Y2" s="77"/>
      <c r="Z2" s="77"/>
      <c r="AA2" s="77"/>
      <c r="AB2" s="78"/>
      <c r="AC2" s="79"/>
      <c r="AD2" s="80"/>
      <c r="AE2" s="56"/>
      <c r="AF2" s="1"/>
      <c r="AG2" s="1"/>
      <c r="AH2" s="1"/>
    </row>
    <row r="3" spans="1:37" ht="15.6">
      <c r="A3" s="350"/>
      <c r="B3" s="59"/>
      <c r="C3" s="241"/>
      <c r="D3" s="241"/>
      <c r="E3" s="241"/>
      <c r="F3" s="241"/>
      <c r="G3" s="241"/>
      <c r="J3" s="313"/>
      <c r="K3" s="24"/>
      <c r="L3" s="196"/>
      <c r="M3" s="24"/>
      <c r="N3" s="197"/>
      <c r="O3" s="24"/>
      <c r="P3" s="196"/>
      <c r="Q3" s="23"/>
      <c r="R3" s="114"/>
      <c r="S3" s="85"/>
      <c r="T3" s="83"/>
      <c r="U3" s="77"/>
      <c r="V3" s="77"/>
      <c r="W3" s="77"/>
      <c r="X3" s="77"/>
      <c r="Y3" s="77"/>
      <c r="Z3" s="77"/>
      <c r="AA3" s="77"/>
      <c r="AB3" s="78"/>
      <c r="AC3" s="79"/>
      <c r="AD3" s="80"/>
      <c r="AE3" s="56"/>
      <c r="AF3" s="1"/>
      <c r="AG3" s="1"/>
      <c r="AH3" s="1"/>
    </row>
    <row r="4" spans="1:37" ht="39.6">
      <c r="A4" s="198" t="s">
        <v>95</v>
      </c>
      <c r="B4" s="200" t="s">
        <v>96</v>
      </c>
      <c r="C4" s="199" t="s">
        <v>97</v>
      </c>
      <c r="D4" s="199" t="s">
        <v>98</v>
      </c>
      <c r="E4" s="199" t="s">
        <v>99</v>
      </c>
      <c r="F4" s="199" t="s">
        <v>254</v>
      </c>
      <c r="G4" s="200" t="s">
        <v>255</v>
      </c>
      <c r="H4" s="199" t="s">
        <v>100</v>
      </c>
      <c r="I4" s="201"/>
      <c r="J4" s="314" t="s">
        <v>101</v>
      </c>
      <c r="K4" s="200" t="s">
        <v>102</v>
      </c>
      <c r="L4" s="203" t="s">
        <v>103</v>
      </c>
      <c r="M4" s="204"/>
      <c r="N4" s="202" t="s">
        <v>104</v>
      </c>
      <c r="O4" s="200" t="s">
        <v>112</v>
      </c>
      <c r="P4" s="203" t="s">
        <v>82</v>
      </c>
      <c r="Q4" s="23"/>
      <c r="R4" s="414" t="s">
        <v>20</v>
      </c>
      <c r="S4" s="85"/>
      <c r="T4" s="83"/>
      <c r="U4" s="77"/>
      <c r="V4" s="77"/>
      <c r="W4" s="77"/>
      <c r="X4" s="77"/>
      <c r="Y4" s="77"/>
      <c r="Z4" s="77"/>
      <c r="AA4" s="77"/>
      <c r="AB4" s="78"/>
      <c r="AC4" s="79"/>
      <c r="AD4" s="80"/>
      <c r="AE4" s="56"/>
      <c r="AF4" s="1"/>
      <c r="AG4" s="1"/>
      <c r="AH4" s="1"/>
    </row>
    <row r="5" spans="1:37" ht="23.4">
      <c r="A5" s="425" t="s">
        <v>169</v>
      </c>
      <c r="B5" s="377" t="s">
        <v>173</v>
      </c>
      <c r="C5" s="377" t="s">
        <v>173</v>
      </c>
      <c r="D5" s="377" t="s">
        <v>173</v>
      </c>
      <c r="E5" s="377" t="s">
        <v>173</v>
      </c>
      <c r="F5" s="377" t="s">
        <v>173</v>
      </c>
      <c r="G5" s="377" t="s">
        <v>173</v>
      </c>
      <c r="H5" s="377" t="s">
        <v>173</v>
      </c>
      <c r="I5" s="430"/>
      <c r="J5" s="487">
        <v>205.6</v>
      </c>
      <c r="K5" s="487">
        <v>284.29000000000002</v>
      </c>
      <c r="L5" s="502">
        <v>1</v>
      </c>
      <c r="M5" s="205"/>
      <c r="N5" s="487">
        <v>431.54</v>
      </c>
      <c r="O5" s="487">
        <v>48.18</v>
      </c>
      <c r="P5" s="487">
        <v>3</v>
      </c>
      <c r="Q5" s="491"/>
      <c r="R5" s="492">
        <f>K5+O5</f>
        <v>332.47</v>
      </c>
      <c r="S5" s="76"/>
      <c r="T5" s="76"/>
      <c r="U5" s="76"/>
      <c r="V5" s="76"/>
      <c r="W5" s="76"/>
      <c r="X5" s="76"/>
      <c r="Y5" s="76"/>
      <c r="Z5" s="76"/>
      <c r="AA5" s="76"/>
      <c r="AB5" s="75"/>
      <c r="AC5" s="86"/>
      <c r="AD5" s="87"/>
    </row>
    <row r="6" spans="1:37" ht="23.4">
      <c r="A6" s="426" t="s">
        <v>198</v>
      </c>
      <c r="B6" s="377" t="s">
        <v>173</v>
      </c>
      <c r="C6" s="377" t="s">
        <v>173</v>
      </c>
      <c r="D6" s="377" t="s">
        <v>173</v>
      </c>
      <c r="E6" s="377" t="s">
        <v>173</v>
      </c>
      <c r="F6" s="377" t="s">
        <v>173</v>
      </c>
      <c r="G6" s="377" t="s">
        <v>173</v>
      </c>
      <c r="H6" s="377" t="s">
        <v>173</v>
      </c>
      <c r="I6" s="430"/>
      <c r="J6" s="487">
        <v>175.61</v>
      </c>
      <c r="K6" s="487">
        <v>177.18</v>
      </c>
      <c r="L6" s="502">
        <v>6</v>
      </c>
      <c r="M6" s="205"/>
      <c r="N6" s="487">
        <v>526.13</v>
      </c>
      <c r="O6" s="487">
        <v>19.47</v>
      </c>
      <c r="P6" s="487">
        <v>6</v>
      </c>
      <c r="Q6" s="491"/>
      <c r="R6" s="492">
        <f t="shared" ref="R6:R17" si="0">K6+O6</f>
        <v>196.65</v>
      </c>
      <c r="S6" s="76"/>
      <c r="T6" s="76"/>
      <c r="U6" s="76"/>
      <c r="V6" s="76"/>
      <c r="W6" s="76"/>
      <c r="X6" s="76"/>
      <c r="Y6" s="76"/>
      <c r="Z6" s="76"/>
      <c r="AA6" s="76"/>
      <c r="AB6" s="75"/>
      <c r="AC6" s="86"/>
      <c r="AD6" s="87"/>
      <c r="AJ6" s="30"/>
      <c r="AK6" s="30"/>
    </row>
    <row r="7" spans="1:37" ht="23.4">
      <c r="A7" s="426" t="s">
        <v>199</v>
      </c>
      <c r="B7" s="377" t="s">
        <v>173</v>
      </c>
      <c r="C7" s="377" t="s">
        <v>173</v>
      </c>
      <c r="D7" s="377" t="s">
        <v>173</v>
      </c>
      <c r="E7" s="377" t="s">
        <v>173</v>
      </c>
      <c r="F7" s="377" t="s">
        <v>173</v>
      </c>
      <c r="G7" s="377" t="s">
        <v>173</v>
      </c>
      <c r="H7" s="377" t="s">
        <v>173</v>
      </c>
      <c r="I7" s="431"/>
      <c r="J7" s="487">
        <v>189.09</v>
      </c>
      <c r="K7" s="487">
        <v>225.32</v>
      </c>
      <c r="L7" s="502">
        <v>3</v>
      </c>
      <c r="M7" s="205"/>
      <c r="N7" s="487">
        <v>425.55</v>
      </c>
      <c r="O7" s="487">
        <v>50</v>
      </c>
      <c r="P7" s="487">
        <v>1</v>
      </c>
      <c r="Q7" s="491"/>
      <c r="R7" s="492">
        <f t="shared" si="0"/>
        <v>275.32</v>
      </c>
      <c r="S7" s="76"/>
      <c r="T7" s="76"/>
      <c r="U7" s="76"/>
      <c r="V7" s="76"/>
      <c r="W7" s="76"/>
      <c r="X7" s="76"/>
      <c r="Y7" s="76"/>
      <c r="Z7" s="76"/>
      <c r="AA7" s="76"/>
      <c r="AB7" s="75"/>
      <c r="AC7" s="86"/>
      <c r="AD7" s="87"/>
      <c r="AJ7" s="30"/>
      <c r="AK7" s="30"/>
    </row>
    <row r="8" spans="1:37" s="187" customFormat="1" ht="23.4">
      <c r="A8" s="426" t="s">
        <v>200</v>
      </c>
      <c r="B8" s="377"/>
      <c r="C8" s="377"/>
      <c r="D8" s="377"/>
      <c r="E8" s="377"/>
      <c r="F8" s="377"/>
      <c r="G8" s="377"/>
      <c r="H8" s="377"/>
      <c r="I8" s="430"/>
      <c r="J8" s="487"/>
      <c r="K8" s="487"/>
      <c r="L8" s="502"/>
      <c r="M8" s="214"/>
      <c r="N8" s="487"/>
      <c r="O8" s="487"/>
      <c r="P8" s="487"/>
      <c r="Q8" s="493"/>
      <c r="R8" s="492">
        <f t="shared" si="0"/>
        <v>0</v>
      </c>
      <c r="S8" s="215"/>
      <c r="T8" s="215"/>
      <c r="U8" s="215"/>
      <c r="V8" s="215"/>
      <c r="W8" s="215"/>
      <c r="X8" s="215"/>
      <c r="Y8" s="215"/>
      <c r="Z8" s="215"/>
      <c r="AA8" s="215"/>
      <c r="AB8" s="190"/>
      <c r="AD8" s="188"/>
      <c r="AE8" s="188"/>
      <c r="AJ8" s="216"/>
      <c r="AK8" s="216"/>
    </row>
    <row r="9" spans="1:37" ht="23.4">
      <c r="A9" s="426" t="s">
        <v>201</v>
      </c>
      <c r="B9" s="377" t="s">
        <v>173</v>
      </c>
      <c r="C9" s="377" t="s">
        <v>173</v>
      </c>
      <c r="D9" s="377" t="s">
        <v>173</v>
      </c>
      <c r="E9" s="377" t="s">
        <v>173</v>
      </c>
      <c r="F9" s="377" t="s">
        <v>173</v>
      </c>
      <c r="G9" s="377" t="s">
        <v>173</v>
      </c>
      <c r="H9" s="377" t="s">
        <v>173</v>
      </c>
      <c r="I9" s="430"/>
      <c r="J9" s="487">
        <v>181.47</v>
      </c>
      <c r="K9" s="487">
        <v>198.11</v>
      </c>
      <c r="L9" s="502">
        <v>5</v>
      </c>
      <c r="M9" s="214"/>
      <c r="N9" s="487">
        <v>534.03</v>
      </c>
      <c r="O9" s="487">
        <v>17.07</v>
      </c>
      <c r="P9" s="487">
        <v>7</v>
      </c>
      <c r="Q9" s="491"/>
      <c r="R9" s="492">
        <f t="shared" si="0"/>
        <v>215.18</v>
      </c>
      <c r="S9" s="76"/>
      <c r="T9" s="76"/>
      <c r="U9" s="76"/>
      <c r="V9" s="76"/>
      <c r="W9" s="76"/>
      <c r="X9" s="76"/>
      <c r="Y9" s="76"/>
      <c r="Z9" s="76"/>
      <c r="AA9" s="76"/>
      <c r="AB9" s="75"/>
      <c r="AC9" s="86"/>
      <c r="AD9" s="87"/>
      <c r="AJ9" s="30"/>
      <c r="AK9" s="30"/>
    </row>
    <row r="10" spans="1:37" ht="23.4">
      <c r="A10" s="426" t="s">
        <v>202</v>
      </c>
      <c r="B10" s="377"/>
      <c r="C10" s="377"/>
      <c r="D10" s="377"/>
      <c r="E10" s="377"/>
      <c r="F10" s="377"/>
      <c r="G10" s="377"/>
      <c r="H10" s="377"/>
      <c r="I10" s="432"/>
      <c r="J10" s="487"/>
      <c r="K10" s="487"/>
      <c r="L10" s="502"/>
      <c r="M10" s="205"/>
      <c r="N10" s="487"/>
      <c r="O10" s="487"/>
      <c r="P10" s="487"/>
      <c r="Q10" s="491"/>
      <c r="R10" s="492">
        <f t="shared" si="0"/>
        <v>0</v>
      </c>
      <c r="S10" s="89"/>
      <c r="T10" s="89"/>
      <c r="U10" s="89"/>
      <c r="V10" s="76"/>
      <c r="W10" s="76"/>
      <c r="X10" s="76"/>
      <c r="Y10" s="76"/>
      <c r="Z10" s="76"/>
      <c r="AA10" s="76"/>
      <c r="AB10" s="75"/>
      <c r="AC10" s="86"/>
      <c r="AD10" s="87"/>
      <c r="AJ10" s="30"/>
      <c r="AK10" s="30"/>
    </row>
    <row r="11" spans="1:37" ht="23.4">
      <c r="A11" s="426" t="s">
        <v>203</v>
      </c>
      <c r="B11" s="377" t="s">
        <v>173</v>
      </c>
      <c r="C11" s="377" t="s">
        <v>173</v>
      </c>
      <c r="D11" s="377" t="s">
        <v>173</v>
      </c>
      <c r="E11" s="377" t="s">
        <v>173</v>
      </c>
      <c r="F11" s="377" t="s">
        <v>174</v>
      </c>
      <c r="G11" s="377" t="s">
        <v>173</v>
      </c>
      <c r="H11" s="377" t="s">
        <v>174</v>
      </c>
      <c r="I11" s="430"/>
      <c r="J11" s="487">
        <v>154.11000000000001</v>
      </c>
      <c r="K11" s="487">
        <v>20</v>
      </c>
      <c r="L11" s="502">
        <v>7</v>
      </c>
      <c r="M11" s="205"/>
      <c r="N11" s="487">
        <v>429.31</v>
      </c>
      <c r="O11" s="487">
        <v>48.86</v>
      </c>
      <c r="P11" s="487">
        <v>2</v>
      </c>
      <c r="Q11" s="491"/>
      <c r="R11" s="492">
        <f t="shared" si="0"/>
        <v>68.86</v>
      </c>
      <c r="S11" s="89"/>
      <c r="T11" s="89"/>
      <c r="U11" s="89"/>
      <c r="V11" s="76"/>
      <c r="W11" s="76"/>
      <c r="X11" s="76"/>
      <c r="Y11" s="76"/>
      <c r="Z11" s="76"/>
      <c r="AA11" s="76"/>
      <c r="AB11" s="75"/>
      <c r="AC11" s="86"/>
      <c r="AD11" s="87"/>
      <c r="AJ11" s="30"/>
      <c r="AK11" s="30"/>
    </row>
    <row r="12" spans="1:37" ht="23.4">
      <c r="A12" s="426" t="s">
        <v>208</v>
      </c>
      <c r="B12" s="377"/>
      <c r="C12" s="377"/>
      <c r="D12" s="377"/>
      <c r="E12" s="377"/>
      <c r="F12" s="377"/>
      <c r="G12" s="377"/>
      <c r="H12" s="377"/>
      <c r="I12" s="430"/>
      <c r="J12" s="487"/>
      <c r="K12" s="487"/>
      <c r="L12" s="502"/>
      <c r="M12" s="205"/>
      <c r="N12" s="487"/>
      <c r="O12" s="487"/>
      <c r="P12" s="487"/>
      <c r="Q12" s="491"/>
      <c r="R12" s="492">
        <f t="shared" si="0"/>
        <v>0</v>
      </c>
      <c r="S12" s="89"/>
      <c r="T12" s="89"/>
      <c r="U12" s="89"/>
      <c r="V12" s="76"/>
      <c r="W12" s="76"/>
      <c r="X12" s="76"/>
      <c r="Y12" s="76"/>
      <c r="Z12" s="76"/>
      <c r="AA12" s="76"/>
      <c r="AB12" s="75"/>
      <c r="AC12" s="86"/>
      <c r="AD12" s="87"/>
      <c r="AJ12" s="30"/>
      <c r="AK12" s="30"/>
    </row>
    <row r="13" spans="1:37" ht="23.4">
      <c r="A13" s="426" t="s">
        <v>207</v>
      </c>
      <c r="B13" s="377" t="s">
        <v>173</v>
      </c>
      <c r="C13" s="377" t="s">
        <v>173</v>
      </c>
      <c r="D13" s="377" t="s">
        <v>173</v>
      </c>
      <c r="E13" s="377" t="s">
        <v>173</v>
      </c>
      <c r="F13" s="377" t="s">
        <v>174</v>
      </c>
      <c r="G13" s="377" t="s">
        <v>173</v>
      </c>
      <c r="H13" s="377" t="s">
        <v>174</v>
      </c>
      <c r="I13" s="430"/>
      <c r="J13" s="487">
        <v>174.33</v>
      </c>
      <c r="K13" s="487">
        <v>20</v>
      </c>
      <c r="L13" s="502">
        <v>9</v>
      </c>
      <c r="M13" s="205"/>
      <c r="N13" s="487">
        <v>582.03</v>
      </c>
      <c r="O13" s="487">
        <v>2.5</v>
      </c>
      <c r="P13" s="487">
        <v>9</v>
      </c>
      <c r="Q13" s="491"/>
      <c r="R13" s="492">
        <f t="shared" si="0"/>
        <v>22.5</v>
      </c>
      <c r="S13" s="76"/>
      <c r="T13" s="76"/>
      <c r="U13" s="76"/>
      <c r="V13" s="76"/>
      <c r="W13" s="76"/>
      <c r="X13" s="76"/>
      <c r="Y13" s="76"/>
      <c r="Z13" s="76"/>
      <c r="AA13" s="76"/>
      <c r="AB13" s="75"/>
      <c r="AC13" s="86"/>
      <c r="AD13" s="87"/>
      <c r="AJ13" s="30"/>
      <c r="AK13" s="30"/>
    </row>
    <row r="14" spans="1:37" ht="23.4">
      <c r="A14" s="426" t="s">
        <v>209</v>
      </c>
      <c r="B14" s="391"/>
      <c r="C14" s="391"/>
      <c r="D14" s="391"/>
      <c r="E14" s="391"/>
      <c r="F14" s="391"/>
      <c r="G14" s="391"/>
      <c r="H14" s="391"/>
      <c r="I14" s="432"/>
      <c r="J14" s="487"/>
      <c r="K14" s="487"/>
      <c r="L14" s="502"/>
      <c r="M14" s="205"/>
      <c r="N14" s="487"/>
      <c r="O14" s="487"/>
      <c r="P14" s="487"/>
      <c r="Q14" s="491"/>
      <c r="R14" s="492">
        <f t="shared" si="0"/>
        <v>0</v>
      </c>
      <c r="S14" s="76"/>
      <c r="T14" s="76"/>
      <c r="U14" s="76"/>
      <c r="V14" s="76"/>
      <c r="W14" s="76"/>
      <c r="X14" s="76"/>
      <c r="Y14" s="76"/>
      <c r="Z14" s="76"/>
      <c r="AA14" s="76"/>
      <c r="AB14" s="75"/>
      <c r="AC14" s="86"/>
      <c r="AD14" s="87"/>
      <c r="AJ14" s="30"/>
      <c r="AK14" s="30"/>
    </row>
    <row r="15" spans="1:37" ht="23.4">
      <c r="A15" s="426" t="s">
        <v>206</v>
      </c>
      <c r="B15" s="377" t="s">
        <v>173</v>
      </c>
      <c r="C15" s="377" t="s">
        <v>173</v>
      </c>
      <c r="D15" s="377" t="s">
        <v>174</v>
      </c>
      <c r="E15" s="377" t="s">
        <v>173</v>
      </c>
      <c r="F15" s="377" t="s">
        <v>174</v>
      </c>
      <c r="G15" s="377" t="s">
        <v>173</v>
      </c>
      <c r="H15" s="377" t="s">
        <v>174</v>
      </c>
      <c r="I15" s="432"/>
      <c r="J15" s="487">
        <v>133.4</v>
      </c>
      <c r="K15" s="487">
        <v>20</v>
      </c>
      <c r="L15" s="502">
        <v>8</v>
      </c>
      <c r="M15" s="205"/>
      <c r="N15" s="487">
        <v>541.33000000000004</v>
      </c>
      <c r="O15" s="487">
        <v>14.85</v>
      </c>
      <c r="P15" s="487">
        <v>8</v>
      </c>
      <c r="Q15" s="491"/>
      <c r="R15" s="492">
        <f t="shared" si="0"/>
        <v>34.85</v>
      </c>
      <c r="S15" s="76"/>
      <c r="T15" s="76"/>
      <c r="U15" s="76"/>
      <c r="V15" s="76"/>
      <c r="W15" s="76"/>
      <c r="X15" s="76"/>
      <c r="Y15" s="76"/>
      <c r="Z15" s="76"/>
      <c r="AA15" s="76"/>
      <c r="AB15" s="75"/>
      <c r="AC15" s="86"/>
      <c r="AD15" s="87"/>
      <c r="AJ15" s="30"/>
      <c r="AK15" s="30"/>
    </row>
    <row r="16" spans="1:37" ht="23.4">
      <c r="A16" s="426" t="s">
        <v>205</v>
      </c>
      <c r="B16" s="377" t="s">
        <v>173</v>
      </c>
      <c r="C16" s="377" t="s">
        <v>173</v>
      </c>
      <c r="D16" s="377" t="s">
        <v>173</v>
      </c>
      <c r="E16" s="377" t="s">
        <v>173</v>
      </c>
      <c r="F16" s="377" t="s">
        <v>173</v>
      </c>
      <c r="G16" s="377" t="s">
        <v>173</v>
      </c>
      <c r="H16" s="377" t="s">
        <v>173</v>
      </c>
      <c r="I16" s="432"/>
      <c r="J16" s="487">
        <v>187.56</v>
      </c>
      <c r="K16" s="487">
        <v>219.86</v>
      </c>
      <c r="L16" s="502">
        <v>4</v>
      </c>
      <c r="M16" s="205"/>
      <c r="N16" s="487">
        <v>431.59</v>
      </c>
      <c r="O16" s="487">
        <v>48.17</v>
      </c>
      <c r="P16" s="487">
        <v>4</v>
      </c>
      <c r="Q16" s="491"/>
      <c r="R16" s="492">
        <f t="shared" si="0"/>
        <v>268.03000000000003</v>
      </c>
      <c r="S16" s="76"/>
      <c r="T16" s="76"/>
      <c r="U16" s="76"/>
      <c r="V16" s="76"/>
      <c r="W16" s="76"/>
      <c r="X16" s="76"/>
      <c r="Y16" s="76"/>
      <c r="Z16" s="76"/>
      <c r="AA16" s="76"/>
      <c r="AB16" s="75"/>
      <c r="AC16" s="86"/>
      <c r="AD16" s="87"/>
      <c r="AJ16" s="30"/>
      <c r="AK16" s="30"/>
    </row>
    <row r="17" spans="1:37" s="131" customFormat="1" ht="23.4">
      <c r="A17" s="426" t="s">
        <v>204</v>
      </c>
      <c r="B17" s="377" t="s">
        <v>173</v>
      </c>
      <c r="C17" s="377" t="s">
        <v>173</v>
      </c>
      <c r="D17" s="377" t="s">
        <v>173</v>
      </c>
      <c r="E17" s="377" t="s">
        <v>173</v>
      </c>
      <c r="F17" s="377" t="s">
        <v>173</v>
      </c>
      <c r="G17" s="377" t="s">
        <v>173</v>
      </c>
      <c r="H17" s="377" t="s">
        <v>173</v>
      </c>
      <c r="I17" s="432"/>
      <c r="J17" s="487">
        <v>204.42</v>
      </c>
      <c r="K17" s="487">
        <v>280.07</v>
      </c>
      <c r="L17" s="502">
        <v>2</v>
      </c>
      <c r="M17" s="205"/>
      <c r="N17" s="487">
        <v>511.81</v>
      </c>
      <c r="O17" s="487">
        <v>23.82</v>
      </c>
      <c r="P17" s="487">
        <v>5</v>
      </c>
      <c r="Q17" s="494"/>
      <c r="R17" s="492">
        <f t="shared" si="0"/>
        <v>303.89</v>
      </c>
      <c r="S17" s="140"/>
      <c r="T17" s="140"/>
      <c r="U17" s="140"/>
      <c r="V17" s="140"/>
      <c r="W17" s="140"/>
      <c r="X17" s="140"/>
      <c r="Y17" s="140"/>
      <c r="Z17" s="140"/>
      <c r="AA17" s="140"/>
      <c r="AB17" s="126"/>
      <c r="AC17" s="134"/>
      <c r="AD17" s="133"/>
      <c r="AE17" s="130"/>
      <c r="AJ17" s="141"/>
      <c r="AK17" s="141"/>
    </row>
    <row r="18" spans="1:37">
      <c r="A18" s="81"/>
      <c r="B18" s="241"/>
      <c r="C18" s="123"/>
      <c r="D18" s="227"/>
      <c r="E18" s="227"/>
      <c r="F18" s="227"/>
      <c r="G18" s="227"/>
      <c r="H18" s="400"/>
      <c r="I18" s="396"/>
      <c r="J18" s="397"/>
      <c r="K18" s="398"/>
      <c r="L18" s="394"/>
      <c r="M18" s="399"/>
      <c r="N18" s="397"/>
      <c r="O18" s="377"/>
      <c r="P18" s="490"/>
      <c r="Q18" s="78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105"/>
      <c r="AC18" s="103"/>
      <c r="AD18" s="106"/>
      <c r="AE18" s="44"/>
      <c r="AF18" s="31"/>
      <c r="AG18" s="31"/>
      <c r="AH18" s="31"/>
      <c r="AI18" s="31"/>
      <c r="AJ18" s="30"/>
      <c r="AK18" s="30"/>
    </row>
    <row r="19" spans="1:37">
      <c r="A19" s="81"/>
      <c r="B19" s="241"/>
      <c r="C19" s="227"/>
      <c r="D19" s="227"/>
      <c r="E19" s="227"/>
      <c r="F19" s="227"/>
      <c r="G19" s="227"/>
      <c r="H19" s="369"/>
      <c r="I19" s="396"/>
      <c r="J19" s="397"/>
      <c r="K19" s="398"/>
      <c r="L19" s="395"/>
      <c r="M19" s="399"/>
      <c r="N19" s="488"/>
      <c r="O19" s="489"/>
      <c r="P19" s="90"/>
      <c r="Q19" s="88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98"/>
      <c r="AC19" s="104"/>
      <c r="AD19" s="108"/>
      <c r="AE19" s="44"/>
      <c r="AF19" s="31"/>
      <c r="AG19" s="31"/>
      <c r="AH19" s="31"/>
      <c r="AI19" s="31"/>
      <c r="AJ19" s="30"/>
      <c r="AK19" s="30"/>
    </row>
    <row r="20" spans="1:37" ht="14.4">
      <c r="A20" s="81"/>
      <c r="B20" s="241"/>
      <c r="C20" s="227"/>
      <c r="D20" s="164" t="s">
        <v>44</v>
      </c>
      <c r="E20" s="163" t="s">
        <v>44</v>
      </c>
      <c r="F20" s="227"/>
      <c r="G20" s="227"/>
      <c r="H20" s="227"/>
      <c r="I20" s="90"/>
      <c r="J20" s="368"/>
      <c r="K20" s="367"/>
      <c r="L20" s="90"/>
      <c r="M20" s="90"/>
      <c r="N20" s="368"/>
      <c r="O20" s="361"/>
      <c r="P20" s="90"/>
      <c r="Q20" s="88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98"/>
      <c r="AC20" s="104"/>
      <c r="AD20" s="108"/>
      <c r="AE20" s="44"/>
      <c r="AF20" s="31"/>
      <c r="AG20" s="31"/>
      <c r="AH20" s="31"/>
      <c r="AI20" s="31"/>
      <c r="AJ20" s="30"/>
      <c r="AK20" s="30"/>
    </row>
    <row r="21" spans="1:37" ht="14.4">
      <c r="B21" s="241"/>
      <c r="C21" s="239"/>
      <c r="D21" s="162"/>
      <c r="E21" s="162"/>
      <c r="F21" s="239"/>
      <c r="G21" s="307" t="s">
        <v>44</v>
      </c>
      <c r="H21" s="239"/>
      <c r="I21" s="82"/>
      <c r="J21" s="368"/>
      <c r="K21" s="367"/>
      <c r="L21" s="82"/>
      <c r="M21" s="82"/>
      <c r="N21" s="368"/>
      <c r="O21" s="361"/>
      <c r="P21" s="82"/>
      <c r="Q21" s="88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98"/>
      <c r="AC21" s="109"/>
      <c r="AD21" s="108"/>
    </row>
    <row r="22" spans="1:37">
      <c r="B22" s="283" t="s">
        <v>105</v>
      </c>
      <c r="H22" s="347"/>
      <c r="I22" s="365"/>
      <c r="J22" s="347"/>
      <c r="K22" s="347"/>
      <c r="L22" s="90"/>
      <c r="M22" s="90"/>
      <c r="N22" s="368"/>
      <c r="O22" s="361"/>
      <c r="P22" s="90"/>
      <c r="Q22" s="88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98"/>
      <c r="AC22" s="109"/>
      <c r="AD22" s="108"/>
    </row>
    <row r="23" spans="1:37">
      <c r="B23" s="283" t="s">
        <v>106</v>
      </c>
      <c r="G23" s="347"/>
      <c r="H23" s="347"/>
      <c r="I23" s="365"/>
      <c r="J23" s="347"/>
      <c r="K23" s="234"/>
      <c r="L23" s="90"/>
      <c r="M23" s="90"/>
      <c r="N23" s="90"/>
      <c r="O23" s="90"/>
      <c r="P23" s="90"/>
      <c r="Q23" s="88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98"/>
      <c r="AC23" s="109"/>
      <c r="AD23" s="108"/>
    </row>
    <row r="24" spans="1:37">
      <c r="B24" s="283" t="s">
        <v>107</v>
      </c>
      <c r="I24" s="283"/>
      <c r="J24" s="365"/>
      <c r="K24" s="370"/>
      <c r="L24" s="82"/>
      <c r="M24" s="82"/>
      <c r="N24" s="90"/>
      <c r="O24" s="82"/>
      <c r="P24" s="82"/>
      <c r="Q24" s="88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98"/>
      <c r="AC24" s="109"/>
      <c r="AD24" s="108"/>
    </row>
    <row r="25" spans="1:37">
      <c r="A25" s="81"/>
      <c r="B25" s="227"/>
      <c r="C25" s="227" t="s">
        <v>77</v>
      </c>
      <c r="D25" s="227"/>
      <c r="E25" s="227"/>
      <c r="F25" s="227"/>
      <c r="G25" s="227"/>
      <c r="H25" s="227"/>
      <c r="I25" s="90"/>
      <c r="J25" s="90"/>
      <c r="K25" s="90"/>
      <c r="L25" s="90"/>
      <c r="M25" s="90"/>
      <c r="N25" s="90"/>
      <c r="O25" s="90"/>
      <c r="P25" s="97"/>
      <c r="Q25" s="88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98"/>
      <c r="AC25" s="109"/>
      <c r="AD25" s="108"/>
    </row>
    <row r="26" spans="1:37">
      <c r="A26" s="81"/>
      <c r="B26" s="239"/>
      <c r="C26" s="239"/>
      <c r="D26" s="239"/>
      <c r="E26" s="239"/>
      <c r="F26" s="239"/>
      <c r="G26" s="239"/>
      <c r="H26" s="239"/>
      <c r="I26" s="82"/>
      <c r="J26" s="90"/>
      <c r="K26" s="82"/>
      <c r="L26" s="82"/>
      <c r="M26" s="82"/>
      <c r="N26" s="82"/>
      <c r="O26" s="82"/>
      <c r="P26" s="97"/>
      <c r="Q26" s="88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98"/>
      <c r="AC26" s="109"/>
      <c r="AD26" s="108"/>
    </row>
    <row r="27" spans="1:37">
      <c r="A27" s="81"/>
      <c r="B27" s="239"/>
      <c r="C27" s="239"/>
      <c r="D27" s="239"/>
      <c r="E27" s="239"/>
      <c r="F27" s="239"/>
      <c r="G27" s="239"/>
      <c r="H27" s="239"/>
      <c r="I27" s="82"/>
      <c r="J27" s="90"/>
      <c r="K27" s="82"/>
      <c r="L27" s="82"/>
      <c r="M27" s="82"/>
      <c r="N27" s="82"/>
      <c r="O27" s="82"/>
      <c r="P27" s="97"/>
      <c r="Q27" s="88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98"/>
      <c r="AC27" s="109"/>
      <c r="AD27" s="108"/>
    </row>
    <row r="28" spans="1:37" ht="15">
      <c r="A28" s="336"/>
      <c r="B28" s="282"/>
      <c r="C28" s="282"/>
      <c r="D28" s="282"/>
      <c r="E28" s="337" t="s">
        <v>175</v>
      </c>
      <c r="F28" s="282"/>
      <c r="G28" s="282"/>
      <c r="H28" s="282"/>
      <c r="I28" s="90"/>
      <c r="J28" s="90"/>
      <c r="K28" s="90"/>
      <c r="L28" s="90"/>
      <c r="M28" s="90"/>
      <c r="N28" s="90"/>
      <c r="O28" s="90"/>
      <c r="P28" s="97"/>
      <c r="Q28" s="88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98"/>
      <c r="AC28" s="109"/>
      <c r="AD28" s="108"/>
    </row>
    <row r="29" spans="1:37">
      <c r="A29" s="81"/>
      <c r="B29" s="227"/>
      <c r="C29" s="227"/>
      <c r="D29" s="227"/>
      <c r="E29" s="227"/>
      <c r="F29" s="227"/>
      <c r="G29" s="227"/>
      <c r="H29" s="227"/>
      <c r="I29" s="90"/>
      <c r="J29" s="90"/>
      <c r="K29" s="90"/>
      <c r="L29" s="90"/>
      <c r="M29" s="90"/>
      <c r="N29" s="90"/>
      <c r="O29" s="90"/>
      <c r="P29" s="97"/>
      <c r="Q29" s="88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98"/>
      <c r="AC29" s="109"/>
      <c r="AD29" s="108"/>
    </row>
    <row r="30" spans="1:37">
      <c r="A30" s="81"/>
      <c r="B30" t="s">
        <v>176</v>
      </c>
      <c r="C30" t="s">
        <v>177</v>
      </c>
      <c r="D30">
        <v>178.93</v>
      </c>
      <c r="E30" s="239"/>
      <c r="F30" s="239"/>
      <c r="G30" s="239"/>
      <c r="H30" s="239"/>
      <c r="I30" s="82"/>
      <c r="J30" s="90"/>
      <c r="K30" s="82"/>
      <c r="L30" s="82"/>
      <c r="M30" s="82"/>
      <c r="N30" s="82"/>
      <c r="O30" s="82"/>
      <c r="P30" s="97"/>
      <c r="Q30" s="88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98"/>
      <c r="AC30" s="109"/>
      <c r="AD30" s="108"/>
    </row>
    <row r="31" spans="1:37">
      <c r="A31" s="81"/>
      <c r="B31" t="s">
        <v>178</v>
      </c>
      <c r="C31" t="s">
        <v>177</v>
      </c>
      <c r="D31">
        <v>205.77</v>
      </c>
      <c r="E31" s="227"/>
      <c r="F31" s="227"/>
      <c r="G31" s="227"/>
      <c r="H31" s="227"/>
      <c r="I31" s="90"/>
      <c r="J31" s="90"/>
      <c r="K31" s="90"/>
      <c r="L31" s="90"/>
      <c r="M31" s="90"/>
      <c r="N31" s="90"/>
      <c r="O31" s="90"/>
      <c r="P31" s="97"/>
      <c r="Q31" s="88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98"/>
      <c r="AC31" s="109"/>
      <c r="AD31" s="108"/>
    </row>
    <row r="32" spans="1:37">
      <c r="A32" s="81"/>
      <c r="B32"/>
      <c r="C32"/>
      <c r="D32"/>
      <c r="E32" s="227"/>
      <c r="F32" s="308"/>
      <c r="G32" s="227"/>
      <c r="H32" s="227"/>
      <c r="I32" s="90"/>
      <c r="J32" s="90"/>
      <c r="K32" s="90"/>
      <c r="L32" s="90"/>
      <c r="M32" s="90"/>
      <c r="N32" s="90"/>
      <c r="O32" s="90"/>
      <c r="P32" s="98"/>
      <c r="Q32" s="88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98"/>
      <c r="AC32" s="109"/>
      <c r="AD32" s="80"/>
    </row>
    <row r="33" spans="1:30">
      <c r="A33" s="81"/>
      <c r="B33" t="s">
        <v>179</v>
      </c>
      <c r="C33" t="s">
        <v>180</v>
      </c>
      <c r="D33">
        <v>324.33</v>
      </c>
      <c r="E33" s="159"/>
      <c r="F33" s="159"/>
      <c r="G33" s="67"/>
      <c r="H33" s="67"/>
      <c r="I33" s="82"/>
      <c r="J33" s="90"/>
      <c r="K33" s="82"/>
      <c r="L33" s="82"/>
      <c r="M33" s="82"/>
      <c r="N33" s="82"/>
      <c r="O33" s="82"/>
      <c r="P33" s="97"/>
      <c r="Q33" s="88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98"/>
      <c r="AC33" s="109"/>
      <c r="AD33" s="108"/>
    </row>
    <row r="34" spans="1:30">
      <c r="A34" s="81"/>
      <c r="B34" t="s">
        <v>181</v>
      </c>
      <c r="C34" t="s">
        <v>180</v>
      </c>
      <c r="D34">
        <v>754.58</v>
      </c>
      <c r="E34" s="67"/>
      <c r="F34" s="156"/>
      <c r="G34" s="67"/>
      <c r="H34" s="157"/>
      <c r="I34" s="155"/>
      <c r="J34" s="155"/>
      <c r="K34" s="155"/>
      <c r="L34" s="90"/>
      <c r="M34" s="90"/>
      <c r="N34" s="90"/>
      <c r="O34" s="90"/>
      <c r="P34" s="97"/>
      <c r="Q34" s="88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98"/>
      <c r="AC34" s="109"/>
      <c r="AD34" s="108"/>
    </row>
    <row r="35" spans="1:30">
      <c r="A35" s="75"/>
      <c r="B35" s="227"/>
      <c r="C35" s="239"/>
      <c r="D35" s="67"/>
      <c r="E35" s="67"/>
      <c r="F35" s="159"/>
      <c r="G35" s="67"/>
      <c r="H35" s="67"/>
      <c r="I35" s="82"/>
      <c r="J35" s="90"/>
      <c r="K35" s="82"/>
      <c r="L35" s="82"/>
      <c r="M35" s="82"/>
      <c r="N35" s="82"/>
      <c r="O35" s="82"/>
      <c r="P35" s="97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98"/>
      <c r="AC35" s="109"/>
      <c r="AD35" s="108"/>
    </row>
    <row r="36" spans="1:30">
      <c r="A36" s="75"/>
      <c r="B36" s="239"/>
      <c r="C36" s="239"/>
      <c r="D36" s="239"/>
      <c r="E36" s="239"/>
      <c r="F36" s="239"/>
      <c r="G36" s="239"/>
      <c r="H36" s="239"/>
      <c r="I36" s="82"/>
      <c r="J36" s="90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109"/>
      <c r="AD36" s="80"/>
    </row>
    <row r="37" spans="1:30">
      <c r="A37" s="75"/>
      <c r="B37" s="239"/>
      <c r="C37" s="239"/>
      <c r="D37" s="239"/>
      <c r="E37" s="239"/>
      <c r="F37" s="239"/>
      <c r="G37" s="239"/>
      <c r="H37" s="239"/>
      <c r="I37" s="82"/>
      <c r="J37" s="90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109"/>
      <c r="AD37" s="80"/>
    </row>
    <row r="38" spans="1:30">
      <c r="A38" s="100"/>
      <c r="B38" s="51"/>
      <c r="C38" s="51"/>
      <c r="D38" s="51"/>
      <c r="E38" s="51"/>
      <c r="F38" s="51"/>
      <c r="G38" s="51"/>
      <c r="H38" s="51"/>
      <c r="I38" s="84"/>
      <c r="J38" s="97"/>
      <c r="K38" s="84"/>
      <c r="L38" s="84"/>
      <c r="M38" s="84"/>
      <c r="N38" s="84"/>
      <c r="O38" s="84"/>
      <c r="P38" s="84"/>
      <c r="Q38" s="82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109"/>
      <c r="AD38" s="80"/>
    </row>
    <row r="39" spans="1:30">
      <c r="A39" s="81"/>
      <c r="B39" s="239"/>
      <c r="C39" s="239"/>
      <c r="D39" s="239"/>
      <c r="E39" s="239"/>
      <c r="F39" s="239"/>
      <c r="G39" s="239"/>
      <c r="H39" s="239"/>
      <c r="I39" s="82"/>
      <c r="J39" s="90"/>
      <c r="K39" s="82"/>
      <c r="L39" s="82"/>
      <c r="M39" s="82"/>
      <c r="N39" s="82"/>
      <c r="O39" s="82"/>
      <c r="P39" s="97"/>
      <c r="Q39" s="88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98"/>
      <c r="AC39" s="109"/>
      <c r="AD39" s="108"/>
    </row>
    <row r="40" spans="1:30">
      <c r="A40" s="81"/>
      <c r="B40" s="239"/>
      <c r="C40" s="239"/>
      <c r="D40" s="239"/>
      <c r="E40" s="239"/>
      <c r="F40" s="239"/>
      <c r="G40" s="239"/>
      <c r="H40" s="239"/>
      <c r="I40" s="82"/>
      <c r="J40" s="90"/>
      <c r="K40" s="82"/>
      <c r="L40" s="82"/>
      <c r="M40" s="82"/>
      <c r="N40" s="82"/>
      <c r="O40" s="82"/>
      <c r="P40" s="97"/>
      <c r="Q40" s="88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98"/>
      <c r="AC40" s="109"/>
      <c r="AD40" s="108"/>
    </row>
    <row r="41" spans="1:30">
      <c r="A41" s="81"/>
      <c r="B41" s="239"/>
      <c r="C41" s="239"/>
      <c r="D41" s="239"/>
      <c r="E41" s="239"/>
      <c r="F41" s="239"/>
      <c r="G41" s="239"/>
      <c r="H41" s="239"/>
      <c r="I41" s="82"/>
      <c r="J41" s="90"/>
      <c r="K41" s="82"/>
      <c r="L41" s="82"/>
      <c r="M41" s="82"/>
      <c r="N41" s="82"/>
      <c r="O41" s="82"/>
      <c r="P41" s="97"/>
      <c r="Q41" s="88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98"/>
      <c r="AC41" s="109"/>
      <c r="AD41" s="108"/>
    </row>
    <row r="42" spans="1:30">
      <c r="A42" s="81"/>
      <c r="B42" s="239"/>
      <c r="C42" s="239"/>
      <c r="D42" s="239"/>
      <c r="E42" s="239"/>
      <c r="F42" s="239"/>
      <c r="G42" s="239"/>
      <c r="H42" s="239"/>
      <c r="I42" s="82"/>
      <c r="J42" s="90"/>
      <c r="K42" s="82"/>
      <c r="L42" s="82"/>
      <c r="M42" s="82"/>
      <c r="N42" s="82"/>
      <c r="O42" s="82"/>
      <c r="P42" s="97"/>
      <c r="Q42" s="88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98"/>
      <c r="AC42" s="109"/>
      <c r="AD42" s="108"/>
    </row>
    <row r="43" spans="1:30">
      <c r="A43" s="81"/>
      <c r="B43" s="239"/>
      <c r="C43" s="239"/>
      <c r="D43" s="239"/>
      <c r="E43" s="239"/>
      <c r="F43" s="239"/>
      <c r="G43" s="239"/>
      <c r="H43" s="239"/>
      <c r="I43" s="82"/>
      <c r="J43" s="90"/>
      <c r="K43" s="82"/>
      <c r="L43" s="82"/>
      <c r="M43" s="82"/>
      <c r="N43" s="82"/>
      <c r="O43" s="82"/>
      <c r="P43" s="97"/>
      <c r="Q43" s="88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98"/>
      <c r="AC43" s="109"/>
      <c r="AD43" s="108"/>
    </row>
    <row r="44" spans="1:30">
      <c r="A44" s="81"/>
      <c r="B44" s="239"/>
      <c r="C44" s="239"/>
      <c r="D44" s="239"/>
      <c r="E44" s="239"/>
      <c r="F44" s="239"/>
      <c r="G44" s="239"/>
      <c r="H44" s="239"/>
      <c r="I44" s="82"/>
      <c r="J44" s="90"/>
      <c r="K44" s="82"/>
      <c r="L44" s="82"/>
      <c r="M44" s="82"/>
      <c r="N44" s="82"/>
      <c r="O44" s="82"/>
      <c r="P44" s="97"/>
      <c r="Q44" s="88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98"/>
      <c r="AC44" s="109"/>
      <c r="AD44" s="108"/>
    </row>
    <row r="45" spans="1:30">
      <c r="A45" s="81"/>
      <c r="B45" s="239"/>
      <c r="C45" s="239"/>
      <c r="D45" s="239"/>
      <c r="E45" s="239"/>
      <c r="F45" s="239"/>
      <c r="G45" s="239"/>
      <c r="H45" s="239"/>
      <c r="I45" s="82"/>
      <c r="J45" s="90"/>
      <c r="K45" s="82"/>
      <c r="L45" s="82"/>
      <c r="M45" s="82"/>
      <c r="N45" s="82"/>
      <c r="O45" s="82"/>
      <c r="P45" s="97"/>
      <c r="Q45" s="88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98"/>
      <c r="AC45" s="109"/>
      <c r="AD45" s="108"/>
    </row>
    <row r="46" spans="1:30">
      <c r="A46" s="81"/>
      <c r="B46" s="239"/>
      <c r="C46" s="239"/>
      <c r="D46" s="239"/>
      <c r="E46" s="239"/>
      <c r="F46" s="239"/>
      <c r="G46" s="239"/>
      <c r="H46" s="239"/>
      <c r="I46" s="82"/>
      <c r="J46" s="90"/>
      <c r="K46" s="82"/>
      <c r="L46" s="82"/>
      <c r="M46" s="82"/>
      <c r="N46" s="82"/>
      <c r="O46" s="82"/>
      <c r="P46" s="97"/>
      <c r="Q46" s="88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98"/>
      <c r="AC46" s="109"/>
      <c r="AD46" s="108"/>
    </row>
    <row r="47" spans="1:30">
      <c r="A47" s="81"/>
      <c r="B47" s="239"/>
      <c r="C47" s="239"/>
      <c r="D47" s="239"/>
      <c r="E47" s="239"/>
      <c r="F47" s="239"/>
      <c r="G47" s="239"/>
      <c r="H47" s="239"/>
      <c r="I47" s="82"/>
      <c r="J47" s="90"/>
      <c r="K47" s="82"/>
      <c r="L47" s="82"/>
      <c r="M47" s="82"/>
      <c r="N47" s="82"/>
      <c r="O47" s="82"/>
      <c r="P47" s="97"/>
      <c r="Q47" s="88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98"/>
      <c r="AC47" s="109"/>
      <c r="AD47" s="108"/>
    </row>
    <row r="48" spans="1:30">
      <c r="A48" s="81"/>
      <c r="B48" s="239"/>
      <c r="C48" s="239"/>
      <c r="D48" s="239"/>
      <c r="E48" s="239"/>
      <c r="F48" s="239"/>
      <c r="G48" s="239"/>
      <c r="H48" s="239"/>
      <c r="I48" s="82"/>
      <c r="J48" s="90"/>
      <c r="K48" s="82"/>
      <c r="L48" s="82"/>
      <c r="M48" s="82"/>
      <c r="N48" s="82"/>
      <c r="O48" s="82"/>
      <c r="P48" s="97"/>
      <c r="Q48" s="88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98"/>
      <c r="AC48" s="109"/>
      <c r="AD48" s="108"/>
    </row>
    <row r="49" spans="1:30">
      <c r="A49" s="81"/>
      <c r="B49" s="239"/>
      <c r="C49" s="239"/>
      <c r="D49" s="239"/>
      <c r="E49" s="239"/>
      <c r="F49" s="239"/>
      <c r="G49" s="239"/>
      <c r="H49" s="239"/>
      <c r="I49" s="82"/>
      <c r="J49" s="90"/>
      <c r="K49" s="82"/>
      <c r="L49" s="82"/>
      <c r="M49" s="82"/>
      <c r="N49" s="82"/>
      <c r="O49" s="82"/>
      <c r="P49" s="97"/>
      <c r="Q49" s="88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98"/>
      <c r="AC49" s="109"/>
      <c r="AD49" s="108"/>
    </row>
    <row r="50" spans="1:30">
      <c r="A50" s="81"/>
      <c r="B50" s="239"/>
      <c r="C50" s="239"/>
      <c r="D50" s="239"/>
      <c r="E50" s="239"/>
      <c r="F50" s="239"/>
      <c r="G50" s="239"/>
      <c r="H50" s="239"/>
      <c r="I50" s="82"/>
      <c r="J50" s="90"/>
      <c r="K50" s="82"/>
      <c r="L50" s="82"/>
      <c r="M50" s="82"/>
      <c r="N50" s="82"/>
      <c r="O50" s="82"/>
      <c r="P50" s="97"/>
      <c r="Q50" s="88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98"/>
      <c r="AC50" s="109"/>
      <c r="AD50" s="108"/>
    </row>
    <row r="51" spans="1:30">
      <c r="A51" s="81"/>
      <c r="B51" s="239"/>
      <c r="C51" s="239"/>
      <c r="D51" s="239"/>
      <c r="E51" s="239"/>
      <c r="F51" s="239"/>
      <c r="G51" s="239"/>
      <c r="H51" s="239"/>
      <c r="I51" s="82"/>
      <c r="J51" s="90"/>
      <c r="K51" s="82"/>
      <c r="L51" s="82"/>
      <c r="M51" s="82"/>
      <c r="N51" s="82"/>
      <c r="O51" s="82"/>
      <c r="P51" s="97"/>
      <c r="Q51" s="88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98"/>
      <c r="AC51" s="109"/>
      <c r="AD51" s="108"/>
    </row>
    <row r="52" spans="1:30">
      <c r="A52" s="81"/>
      <c r="B52" s="227"/>
      <c r="C52" s="227"/>
      <c r="D52" s="227"/>
      <c r="E52" s="227"/>
      <c r="F52" s="227"/>
      <c r="G52" s="227"/>
      <c r="H52" s="227"/>
      <c r="I52" s="90"/>
      <c r="J52" s="90"/>
      <c r="K52" s="90"/>
      <c r="L52" s="90"/>
      <c r="M52" s="90"/>
      <c r="N52" s="90"/>
      <c r="O52" s="90"/>
      <c r="P52" s="98"/>
      <c r="Q52" s="88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8"/>
      <c r="AC52" s="109"/>
      <c r="AD52" s="80"/>
    </row>
    <row r="53" spans="1:30">
      <c r="A53" s="81"/>
      <c r="B53" s="239"/>
      <c r="C53" s="239"/>
      <c r="D53" s="239"/>
      <c r="E53" s="239"/>
      <c r="F53" s="239"/>
      <c r="G53" s="239"/>
      <c r="H53" s="239"/>
      <c r="I53" s="82"/>
      <c r="J53" s="90"/>
      <c r="K53" s="82"/>
      <c r="L53" s="82"/>
      <c r="M53" s="82"/>
      <c r="N53" s="82"/>
      <c r="O53" s="82"/>
      <c r="P53" s="97"/>
      <c r="Q53" s="88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98"/>
      <c r="AC53" s="109"/>
      <c r="AD53" s="108"/>
    </row>
    <row r="54" spans="1:30">
      <c r="A54" s="81"/>
      <c r="B54" s="239"/>
      <c r="C54" s="239"/>
      <c r="D54" s="239"/>
      <c r="E54" s="239"/>
      <c r="F54" s="239"/>
      <c r="G54" s="239"/>
      <c r="H54" s="239"/>
      <c r="I54" s="82"/>
      <c r="J54" s="90"/>
      <c r="K54" s="82"/>
      <c r="L54" s="82"/>
      <c r="M54" s="82"/>
      <c r="N54" s="82"/>
      <c r="O54" s="82"/>
      <c r="P54" s="97"/>
      <c r="Q54" s="88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98"/>
      <c r="AC54" s="109"/>
      <c r="AD54" s="108"/>
    </row>
    <row r="55" spans="1:30">
      <c r="A55" s="86"/>
      <c r="B55" s="309"/>
      <c r="C55" s="309"/>
      <c r="D55" s="309"/>
      <c r="E55" s="309"/>
      <c r="F55" s="309"/>
      <c r="G55" s="309"/>
      <c r="H55" s="309"/>
      <c r="I55" s="109"/>
      <c r="J55" s="315"/>
      <c r="K55" s="109"/>
      <c r="L55" s="109"/>
      <c r="M55" s="109"/>
      <c r="N55" s="109"/>
      <c r="O55" s="109"/>
      <c r="P55" s="101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2"/>
      <c r="AC55" s="109"/>
      <c r="AD55" s="80"/>
    </row>
    <row r="56" spans="1:30">
      <c r="A56" s="86"/>
      <c r="B56" s="309"/>
      <c r="C56" s="309"/>
      <c r="D56" s="309"/>
      <c r="E56" s="309"/>
      <c r="F56" s="309"/>
      <c r="G56" s="309"/>
      <c r="H56" s="309"/>
      <c r="I56" s="109"/>
      <c r="J56" s="315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80"/>
    </row>
    <row r="57" spans="1:30">
      <c r="A57" s="86"/>
      <c r="B57" s="310"/>
      <c r="C57" s="310"/>
      <c r="D57" s="310"/>
      <c r="E57" s="310"/>
      <c r="F57" s="310"/>
      <c r="G57" s="310"/>
      <c r="H57" s="310"/>
      <c r="I57" s="80"/>
      <c r="J57" s="316"/>
      <c r="K57" s="80"/>
      <c r="L57" s="80"/>
      <c r="M57" s="80"/>
      <c r="N57" s="80"/>
      <c r="O57" s="80"/>
      <c r="P57" s="109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</row>
    <row r="58" spans="1:30">
      <c r="A58" s="86"/>
      <c r="B58" s="284"/>
      <c r="C58" s="284"/>
      <c r="D58" s="284"/>
      <c r="E58" s="284"/>
      <c r="F58" s="284"/>
      <c r="G58" s="284"/>
      <c r="H58" s="284"/>
      <c r="I58" s="87"/>
      <c r="J58" s="317"/>
      <c r="K58" s="87"/>
      <c r="L58" s="87"/>
      <c r="M58" s="87"/>
      <c r="N58" s="87"/>
      <c r="O58" s="87"/>
      <c r="P58" s="99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</row>
    <row r="59" spans="1:30">
      <c r="A59" s="86"/>
      <c r="B59" s="284"/>
      <c r="C59" s="284"/>
      <c r="D59" s="284"/>
      <c r="E59" s="284"/>
      <c r="F59" s="284"/>
      <c r="G59" s="284"/>
      <c r="H59" s="284"/>
      <c r="I59" s="87"/>
      <c r="J59" s="317"/>
      <c r="K59" s="87"/>
      <c r="L59" s="87"/>
      <c r="M59" s="87"/>
      <c r="N59" s="87"/>
      <c r="O59" s="87"/>
      <c r="P59" s="99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</row>
    <row r="60" spans="1:30">
      <c r="A60" s="86"/>
      <c r="B60" s="284"/>
      <c r="C60" s="284"/>
      <c r="D60" s="284"/>
      <c r="E60" s="284"/>
      <c r="F60" s="284"/>
      <c r="G60" s="284"/>
      <c r="H60" s="284"/>
      <c r="I60" s="87"/>
      <c r="J60" s="317"/>
      <c r="K60" s="87"/>
      <c r="L60" s="87"/>
      <c r="M60" s="87"/>
      <c r="N60" s="87"/>
      <c r="O60" s="87"/>
      <c r="P60" s="99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</row>
    <row r="61" spans="1:30">
      <c r="A61" s="86"/>
      <c r="B61" s="284"/>
      <c r="C61" s="284"/>
      <c r="D61" s="284"/>
      <c r="E61" s="284"/>
      <c r="F61" s="284"/>
      <c r="G61" s="284"/>
      <c r="H61" s="284"/>
      <c r="I61" s="87"/>
      <c r="J61" s="317"/>
      <c r="K61" s="87"/>
      <c r="L61" s="87"/>
      <c r="M61" s="87"/>
      <c r="N61" s="87"/>
      <c r="O61" s="87"/>
      <c r="P61" s="99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</row>
    <row r="62" spans="1:30">
      <c r="A62" s="86"/>
      <c r="I62" s="86"/>
      <c r="J62" s="318"/>
      <c r="K62" s="86"/>
      <c r="L62" s="86"/>
      <c r="M62" s="86"/>
      <c r="N62" s="87"/>
      <c r="O62" s="87"/>
      <c r="P62" s="99"/>
      <c r="Q62" s="87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6"/>
      <c r="AC62" s="86"/>
      <c r="AD62" s="87"/>
    </row>
    <row r="63" spans="1:30">
      <c r="A63" s="86"/>
      <c r="I63" s="86"/>
      <c r="J63" s="318"/>
      <c r="K63" s="86"/>
      <c r="L63" s="86"/>
      <c r="M63" s="86"/>
      <c r="N63" s="87"/>
      <c r="O63" s="87"/>
      <c r="P63" s="99"/>
      <c r="Q63" s="87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6"/>
      <c r="AC63" s="86"/>
      <c r="AD63" s="87"/>
    </row>
    <row r="64" spans="1:30">
      <c r="P64" s="39"/>
    </row>
    <row r="65" spans="16:16">
      <c r="P65" s="39"/>
    </row>
    <row r="66" spans="16:16">
      <c r="P66" s="39"/>
    </row>
    <row r="67" spans="16:16">
      <c r="P67" s="39"/>
    </row>
    <row r="68" spans="16:16">
      <c r="P68" s="39"/>
    </row>
    <row r="69" spans="16:16">
      <c r="P69" s="39"/>
    </row>
    <row r="70" spans="16:16">
      <c r="P70" s="39"/>
    </row>
    <row r="71" spans="16:16">
      <c r="P71" s="39"/>
    </row>
    <row r="72" spans="16:16">
      <c r="P72" s="39"/>
    </row>
    <row r="73" spans="16:16">
      <c r="P73" s="39"/>
    </row>
    <row r="74" spans="16:16">
      <c r="P74" s="39"/>
    </row>
    <row r="75" spans="16:16">
      <c r="P75" s="39"/>
    </row>
    <row r="76" spans="16:16">
      <c r="P76" s="39"/>
    </row>
    <row r="77" spans="16:16">
      <c r="P77" s="39"/>
    </row>
    <row r="78" spans="16:16">
      <c r="P78" s="39"/>
    </row>
    <row r="79" spans="16:16">
      <c r="P79" s="39"/>
    </row>
    <row r="80" spans="16:16">
      <c r="P80" s="39"/>
    </row>
    <row r="81" spans="16:16">
      <c r="P81" s="39"/>
    </row>
    <row r="82" spans="16:16">
      <c r="P82" s="39"/>
    </row>
    <row r="83" spans="16:16">
      <c r="P83" s="39"/>
    </row>
    <row r="84" spans="16:16">
      <c r="P84" s="39"/>
    </row>
    <row r="85" spans="16:16">
      <c r="P85" s="39"/>
    </row>
    <row r="86" spans="16:16">
      <c r="P86" s="39"/>
    </row>
    <row r="87" spans="16:16">
      <c r="P87" s="39"/>
    </row>
    <row r="88" spans="16:16">
      <c r="P88" s="39"/>
    </row>
    <row r="89" spans="16:16">
      <c r="P89" s="39"/>
    </row>
    <row r="90" spans="16:16">
      <c r="P90" s="39"/>
    </row>
    <row r="91" spans="16:16">
      <c r="P91" s="39"/>
    </row>
    <row r="92" spans="16:16">
      <c r="P92" s="39"/>
    </row>
    <row r="93" spans="16:16">
      <c r="P93" s="39"/>
    </row>
    <row r="94" spans="16:16">
      <c r="P94" s="39"/>
    </row>
    <row r="95" spans="16:16">
      <c r="P95" s="39"/>
    </row>
    <row r="96" spans="16:16">
      <c r="P96" s="39"/>
    </row>
    <row r="97" spans="16:16">
      <c r="P97" s="39"/>
    </row>
  </sheetData>
  <phoneticPr fontId="24" type="noConversion"/>
  <conditionalFormatting sqref="I7">
    <cfRule type="cellIs" dxfId="1" priority="9" stopIfTrue="1" operator="equal">
      <formula>"PASS"</formula>
    </cfRule>
    <cfRule type="cellIs" dxfId="0" priority="10" stopIfTrue="1" operator="equal">
      <formula>"FAIL"</formula>
    </cfRule>
  </conditionalFormatting>
  <printOptions gridLines="1"/>
  <pageMargins left="0.25" right="0.25" top="1" bottom="1" header="0.5" footer="0.5"/>
  <pageSetup scale="66" orientation="landscape" horizontalDpi="4294967294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97"/>
  <sheetViews>
    <sheetView zoomScaleNormal="100" zoomScalePageLayoutView="125" workbookViewId="0">
      <selection activeCell="I6" sqref="I6"/>
    </sheetView>
  </sheetViews>
  <sheetFormatPr defaultColWidth="8.88671875" defaultRowHeight="13.2"/>
  <cols>
    <col min="1" max="1" width="55.6640625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8" width="9.33203125" customWidth="1"/>
    <col min="9" max="9" width="9.109375" customWidth="1"/>
    <col min="11" max="11" width="10" style="260" customWidth="1"/>
    <col min="12" max="12" width="27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38" customWidth="1"/>
    <col min="23" max="23" width="10" style="38" customWidth="1"/>
    <col min="24" max="25" width="8.6640625" style="38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34.799999999999997">
      <c r="A1" s="419" t="s">
        <v>220</v>
      </c>
      <c r="B1" s="21"/>
      <c r="C1" s="21"/>
      <c r="D1" s="21"/>
      <c r="E1" s="21" t="s">
        <v>108</v>
      </c>
      <c r="F1" s="181">
        <f>MIN(B6:B18)</f>
        <v>4.2039999999999997</v>
      </c>
      <c r="G1" s="21"/>
      <c r="H1" s="21" t="s">
        <v>110</v>
      </c>
      <c r="I1" s="21"/>
      <c r="J1" s="266">
        <f>MIN(H6:H18)</f>
        <v>9.4927536231884062</v>
      </c>
      <c r="K1" s="251"/>
      <c r="L1" s="28"/>
      <c r="M1" s="28"/>
      <c r="N1" s="28"/>
      <c r="O1" s="28"/>
      <c r="P1" s="111"/>
      <c r="Q1" s="76"/>
      <c r="R1" s="77"/>
      <c r="S1" s="77"/>
      <c r="T1" s="77"/>
      <c r="U1" s="77"/>
      <c r="V1" s="77"/>
      <c r="W1" s="77"/>
      <c r="X1" s="77"/>
      <c r="Y1" s="77"/>
      <c r="Z1" s="78"/>
      <c r="AA1" s="79"/>
      <c r="AB1" s="80"/>
      <c r="AC1" s="56"/>
      <c r="AD1" s="1"/>
      <c r="AE1" s="1"/>
      <c r="AF1" s="1"/>
    </row>
    <row r="2" spans="1:35">
      <c r="A2" s="71"/>
      <c r="B2" s="24"/>
      <c r="C2" s="24"/>
      <c r="D2" s="24"/>
      <c r="E2" s="24" t="s">
        <v>109</v>
      </c>
      <c r="F2" s="181">
        <f>MAX(B6:B18)</f>
        <v>167.416</v>
      </c>
      <c r="G2" s="24"/>
      <c r="H2" s="24" t="s">
        <v>111</v>
      </c>
      <c r="I2" s="24"/>
      <c r="J2" s="418">
        <f>MAX(H6:H18)</f>
        <v>17.236842105263158</v>
      </c>
      <c r="K2" s="252"/>
      <c r="L2" s="112"/>
      <c r="M2" s="48"/>
      <c r="N2" s="48"/>
      <c r="O2" s="48"/>
      <c r="P2" s="113"/>
      <c r="Q2" s="83"/>
      <c r="R2" s="83"/>
      <c r="S2" s="77"/>
      <c r="T2" s="77"/>
      <c r="U2" s="77"/>
      <c r="V2" s="77"/>
      <c r="W2" s="77"/>
      <c r="X2" s="77"/>
      <c r="Y2" s="77"/>
      <c r="Z2" s="78"/>
      <c r="AA2" s="79"/>
      <c r="AB2" s="80"/>
      <c r="AC2" s="56"/>
      <c r="AD2" s="1"/>
      <c r="AE2" s="1"/>
      <c r="AF2" s="1"/>
    </row>
    <row r="3" spans="1:35">
      <c r="A3" s="295"/>
      <c r="B3" s="16" t="s">
        <v>86</v>
      </c>
      <c r="C3" s="23"/>
      <c r="D3" s="23"/>
      <c r="E3" s="23"/>
      <c r="F3" s="23"/>
      <c r="G3" s="23"/>
      <c r="H3" s="23"/>
      <c r="I3" s="23"/>
      <c r="J3" s="16"/>
      <c r="K3" s="253"/>
      <c r="L3" s="28"/>
      <c r="M3" s="23"/>
      <c r="N3" s="23"/>
      <c r="O3" s="23"/>
      <c r="P3" s="114"/>
      <c r="Q3" s="85"/>
      <c r="R3" s="83"/>
      <c r="S3" s="77"/>
      <c r="T3" s="77"/>
      <c r="U3" s="77"/>
      <c r="V3" s="77"/>
      <c r="W3" s="77"/>
      <c r="X3" s="77"/>
      <c r="Y3" s="77"/>
      <c r="Z3" s="78"/>
      <c r="AA3" s="79"/>
      <c r="AB3" s="80"/>
      <c r="AC3" s="56"/>
      <c r="AD3" s="1"/>
      <c r="AE3" s="1"/>
      <c r="AF3" s="1"/>
    </row>
    <row r="4" spans="1:35">
      <c r="A4" s="16"/>
      <c r="B4" s="16"/>
      <c r="C4" s="23"/>
      <c r="D4" s="23"/>
      <c r="E4" s="23" t="s">
        <v>44</v>
      </c>
      <c r="F4" s="23"/>
      <c r="G4" s="23"/>
      <c r="H4" s="23"/>
      <c r="I4" s="23"/>
      <c r="J4" s="23"/>
      <c r="K4" s="253"/>
      <c r="L4" s="28"/>
      <c r="M4" s="23"/>
      <c r="N4" s="23"/>
      <c r="O4" s="23"/>
      <c r="P4" s="114"/>
      <c r="Q4" s="85"/>
      <c r="R4" s="83"/>
      <c r="S4" s="77"/>
      <c r="T4" s="77"/>
      <c r="U4" s="77"/>
      <c r="V4" s="77"/>
      <c r="W4" s="77"/>
      <c r="X4" s="77"/>
      <c r="Y4" s="77"/>
      <c r="Z4" s="78"/>
      <c r="AA4" s="79"/>
      <c r="AB4" s="80"/>
      <c r="AC4" s="56"/>
      <c r="AD4" s="1"/>
      <c r="AE4" s="1"/>
      <c r="AF4" s="1"/>
    </row>
    <row r="5" spans="1:35" ht="26.4">
      <c r="B5" s="360" t="s">
        <v>161</v>
      </c>
      <c r="C5" s="36" t="s">
        <v>83</v>
      </c>
      <c r="D5" s="23" t="s">
        <v>27</v>
      </c>
      <c r="E5" s="23"/>
      <c r="F5" s="360" t="s">
        <v>165</v>
      </c>
      <c r="G5" s="360" t="s">
        <v>119</v>
      </c>
      <c r="H5" s="36" t="s">
        <v>155</v>
      </c>
      <c r="I5" s="36" t="s">
        <v>193</v>
      </c>
      <c r="J5" s="36" t="s">
        <v>194</v>
      </c>
      <c r="K5" s="417" t="s">
        <v>192</v>
      </c>
      <c r="L5" s="362" t="s">
        <v>120</v>
      </c>
      <c r="M5" s="20"/>
      <c r="N5" s="28"/>
      <c r="O5" s="28"/>
      <c r="P5" s="111"/>
      <c r="Q5" s="76"/>
      <c r="R5" s="76"/>
      <c r="S5" s="76"/>
      <c r="T5" s="76"/>
      <c r="U5" s="76"/>
      <c r="V5" s="76"/>
      <c r="W5" s="76"/>
      <c r="X5" s="76"/>
      <c r="Y5" s="76"/>
      <c r="Z5" s="75"/>
      <c r="AA5" s="86"/>
      <c r="AB5" s="87"/>
    </row>
    <row r="6" spans="1:35" ht="23.4">
      <c r="A6" s="426" t="s">
        <v>169</v>
      </c>
      <c r="B6" s="518">
        <v>4.2039999999999997</v>
      </c>
      <c r="C6" s="402">
        <f>$B$21*B6+$B$22</f>
        <v>50</v>
      </c>
      <c r="D6" s="226">
        <f t="shared" ref="D6:D18" si="0">RANK(C6,$C$6:$C$18)</f>
        <v>1</v>
      </c>
      <c r="E6" s="168"/>
      <c r="F6" s="520">
        <v>7.5999999999999998E-2</v>
      </c>
      <c r="G6" s="521">
        <v>1.31</v>
      </c>
      <c r="H6" s="416">
        <f>+G6/F6</f>
        <v>17.236842105263158</v>
      </c>
      <c r="I6" s="324">
        <f>$F$21*H6+$F$22</f>
        <v>49.999999999999993</v>
      </c>
      <c r="J6" s="226">
        <f>RANK(I6,$I$6:$I$18)</f>
        <v>1</v>
      </c>
      <c r="K6" s="116">
        <f>C6+I6</f>
        <v>100</v>
      </c>
      <c r="L6" s="363"/>
      <c r="M6" s="118"/>
      <c r="N6" s="28"/>
      <c r="O6" s="28"/>
      <c r="P6" s="115"/>
      <c r="Q6" s="76"/>
      <c r="R6" s="76"/>
      <c r="S6" s="76"/>
      <c r="T6" s="76"/>
      <c r="U6" s="76"/>
      <c r="V6" s="76"/>
      <c r="W6" s="76"/>
      <c r="X6" s="76"/>
      <c r="Y6" s="76"/>
      <c r="Z6" s="75"/>
      <c r="AA6" s="86"/>
      <c r="AB6" s="87"/>
      <c r="AH6" s="30"/>
      <c r="AI6" s="30"/>
    </row>
    <row r="7" spans="1:35" ht="23.4">
      <c r="A7" s="426" t="s">
        <v>198</v>
      </c>
      <c r="B7" s="519">
        <v>27.405999999999999</v>
      </c>
      <c r="C7" s="402">
        <f t="shared" ref="C7:C18" si="1">$B$21*B7+$B$22</f>
        <v>43.247463421807218</v>
      </c>
      <c r="D7" s="226">
        <f t="shared" si="0"/>
        <v>6</v>
      </c>
      <c r="E7" s="184"/>
      <c r="F7" s="522">
        <v>8.6999999999999994E-2</v>
      </c>
      <c r="G7" s="523">
        <v>1.31</v>
      </c>
      <c r="H7" s="416">
        <f t="shared" ref="H7:H8" si="2">+G7/F7</f>
        <v>15.057471264367818</v>
      </c>
      <c r="I7" s="324">
        <f t="shared" ref="I7:I18" si="3">$F$21*H7+$F$22</f>
        <v>35.928809788654071</v>
      </c>
      <c r="J7" s="226">
        <f>RANK(I7,$I$6:$I$18)</f>
        <v>3</v>
      </c>
      <c r="K7" s="116">
        <f t="shared" ref="K7:K12" si="4">C7+I7</f>
        <v>79.176273210461289</v>
      </c>
      <c r="L7" s="363"/>
      <c r="M7" s="118"/>
      <c r="N7" s="28"/>
      <c r="O7" s="28"/>
      <c r="P7" s="111"/>
      <c r="Q7" s="76"/>
      <c r="R7" s="76"/>
      <c r="S7" s="76"/>
      <c r="T7" s="76"/>
      <c r="U7" s="76"/>
      <c r="V7" s="76"/>
      <c r="W7" s="76"/>
      <c r="X7" s="76"/>
      <c r="Y7" s="76"/>
      <c r="Z7" s="75"/>
      <c r="AA7" s="86"/>
      <c r="AB7" s="87"/>
      <c r="AH7" s="30"/>
      <c r="AI7" s="30"/>
    </row>
    <row r="8" spans="1:35" ht="23.4">
      <c r="A8" s="426" t="s">
        <v>199</v>
      </c>
      <c r="B8" s="519">
        <v>48.746000000000002</v>
      </c>
      <c r="C8" s="402">
        <f t="shared" si="1"/>
        <v>37.036829399799032</v>
      </c>
      <c r="D8" s="226">
        <f t="shared" si="0"/>
        <v>7</v>
      </c>
      <c r="E8" s="184"/>
      <c r="F8" s="522">
        <v>8.6999999999999994E-2</v>
      </c>
      <c r="G8" s="523">
        <v>1.31</v>
      </c>
      <c r="H8" s="416">
        <f t="shared" si="2"/>
        <v>15.057471264367818</v>
      </c>
      <c r="I8" s="324">
        <f t="shared" si="3"/>
        <v>35.928809788654071</v>
      </c>
      <c r="J8" s="226">
        <f>RANK(I8,$I$6:$I$18)</f>
        <v>3</v>
      </c>
      <c r="K8" s="116">
        <f t="shared" si="4"/>
        <v>72.96563918845311</v>
      </c>
      <c r="L8" s="363"/>
      <c r="M8" s="118"/>
      <c r="N8" s="28"/>
      <c r="O8" s="28"/>
      <c r="P8" s="111"/>
      <c r="Q8" s="76"/>
      <c r="R8" s="76"/>
      <c r="S8" s="76"/>
      <c r="T8" s="76"/>
      <c r="U8" s="76"/>
      <c r="V8" s="76"/>
      <c r="W8" s="76"/>
      <c r="X8" s="76"/>
      <c r="Y8" s="76"/>
      <c r="Z8" s="75"/>
      <c r="AA8" s="86"/>
      <c r="AB8" s="87"/>
      <c r="AH8" s="30"/>
      <c r="AI8" s="30"/>
    </row>
    <row r="9" spans="1:35" s="187" customFormat="1" ht="23.4">
      <c r="A9" s="426" t="s">
        <v>200</v>
      </c>
      <c r="B9" s="519"/>
      <c r="C9" s="402"/>
      <c r="D9" s="226"/>
      <c r="E9" s="213"/>
      <c r="F9" s="522"/>
      <c r="G9" s="523"/>
      <c r="H9" s="416"/>
      <c r="I9" s="324"/>
      <c r="J9" s="226"/>
      <c r="K9" s="116"/>
      <c r="L9" s="363"/>
      <c r="M9" s="217"/>
      <c r="N9" s="211"/>
      <c r="O9" s="211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190"/>
      <c r="AB9" s="188"/>
      <c r="AC9" s="188"/>
      <c r="AH9" s="216"/>
      <c r="AI9" s="216"/>
    </row>
    <row r="10" spans="1:35" s="187" customFormat="1" ht="23.4">
      <c r="A10" s="426" t="s">
        <v>201</v>
      </c>
      <c r="B10" s="519">
        <v>12.566000000000001</v>
      </c>
      <c r="C10" s="402">
        <f t="shared" si="1"/>
        <v>47.566386050045338</v>
      </c>
      <c r="D10" s="226">
        <f t="shared" si="0"/>
        <v>4</v>
      </c>
      <c r="E10" s="213"/>
      <c r="F10" s="522">
        <v>0.08</v>
      </c>
      <c r="G10" s="523">
        <v>1.31</v>
      </c>
      <c r="H10" s="416">
        <f>+G10/F10</f>
        <v>16.375</v>
      </c>
      <c r="I10" s="324">
        <f t="shared" si="3"/>
        <v>44.435483870967737</v>
      </c>
      <c r="J10" s="226">
        <f t="shared" ref="J10:J18" si="5">RANK(I10,$I$6:$I$18)</f>
        <v>2</v>
      </c>
      <c r="K10" s="116">
        <f t="shared" si="4"/>
        <v>92.001869921013082</v>
      </c>
      <c r="L10" s="363"/>
      <c r="M10" s="217"/>
      <c r="N10" s="211"/>
      <c r="O10" s="211"/>
      <c r="P10" s="218"/>
      <c r="Q10" s="218"/>
      <c r="R10" s="218"/>
      <c r="S10" s="218"/>
      <c r="T10" s="215"/>
      <c r="U10" s="215"/>
      <c r="V10" s="215"/>
      <c r="W10" s="215"/>
      <c r="X10" s="215"/>
      <c r="Y10" s="215"/>
      <c r="Z10" s="190"/>
      <c r="AB10" s="188"/>
      <c r="AC10" s="188"/>
      <c r="AH10" s="216"/>
      <c r="AI10" s="216"/>
    </row>
    <row r="11" spans="1:35" ht="23.4">
      <c r="A11" s="426" t="s">
        <v>202</v>
      </c>
      <c r="B11" s="519"/>
      <c r="C11" s="402"/>
      <c r="D11" s="226"/>
      <c r="E11" s="168"/>
      <c r="F11" s="522"/>
      <c r="G11" s="523"/>
      <c r="H11" s="416"/>
      <c r="I11" s="324"/>
      <c r="J11" s="226"/>
      <c r="K11" s="116"/>
      <c r="L11" s="363"/>
      <c r="M11" s="118"/>
      <c r="N11" s="28"/>
      <c r="O11" s="28"/>
      <c r="P11" s="115"/>
      <c r="Q11" s="89"/>
      <c r="R11" s="89"/>
      <c r="S11" s="89"/>
      <c r="T11" s="76"/>
      <c r="U11" s="76"/>
      <c r="V11" s="76"/>
      <c r="W11" s="76"/>
      <c r="X11" s="76"/>
      <c r="Y11" s="76"/>
      <c r="Z11" s="75"/>
      <c r="AA11" s="86"/>
      <c r="AB11" s="87"/>
      <c r="AH11" s="30"/>
      <c r="AI11" s="30"/>
    </row>
    <row r="12" spans="1:35" ht="23.4">
      <c r="A12" s="426" t="s">
        <v>203</v>
      </c>
      <c r="B12" s="519">
        <v>27.140999999999998</v>
      </c>
      <c r="C12" s="402">
        <f t="shared" si="1"/>
        <v>43.324587040168616</v>
      </c>
      <c r="D12" s="226">
        <f t="shared" si="0"/>
        <v>5</v>
      </c>
      <c r="E12" s="168"/>
      <c r="F12" s="522">
        <v>9.2999999999999999E-2</v>
      </c>
      <c r="G12" s="523">
        <v>1.31</v>
      </c>
      <c r="H12" s="416">
        <f t="shared" ref="H12:H18" si="6">+G12/F12</f>
        <v>14.086021505376344</v>
      </c>
      <c r="I12" s="324">
        <f t="shared" si="3"/>
        <v>29.656607700312172</v>
      </c>
      <c r="J12" s="226">
        <f t="shared" si="5"/>
        <v>5</v>
      </c>
      <c r="K12" s="116">
        <f t="shared" si="4"/>
        <v>72.981194740480788</v>
      </c>
      <c r="L12" s="363"/>
      <c r="M12" s="118"/>
      <c r="N12" s="28"/>
      <c r="O12" s="28"/>
      <c r="P12" s="115"/>
      <c r="Q12" s="89"/>
      <c r="R12" s="89"/>
      <c r="S12" s="89"/>
      <c r="T12" s="76"/>
      <c r="U12" s="76"/>
      <c r="V12" s="76"/>
      <c r="W12" s="76"/>
      <c r="X12" s="76"/>
      <c r="Y12" s="76"/>
      <c r="Z12" s="75"/>
      <c r="AA12" s="86"/>
      <c r="AB12" s="87"/>
      <c r="AH12" s="30"/>
      <c r="AI12" s="30"/>
    </row>
    <row r="13" spans="1:35" ht="23.4">
      <c r="A13" s="426" t="s">
        <v>208</v>
      </c>
      <c r="B13" s="519"/>
      <c r="C13" s="402"/>
      <c r="D13" s="226"/>
      <c r="E13" s="184"/>
      <c r="F13" s="522"/>
      <c r="G13" s="523"/>
      <c r="H13" s="416"/>
      <c r="I13" s="324"/>
      <c r="J13" s="226"/>
      <c r="K13" s="116"/>
      <c r="L13" s="363"/>
      <c r="M13" s="118"/>
      <c r="N13" s="28"/>
      <c r="O13" s="28"/>
      <c r="P13" s="111"/>
      <c r="Q13" s="76"/>
      <c r="R13" s="76"/>
      <c r="S13" s="76"/>
      <c r="T13" s="76"/>
      <c r="U13" s="76"/>
      <c r="V13" s="76"/>
      <c r="W13" s="76"/>
      <c r="X13" s="76"/>
      <c r="Y13" s="76"/>
      <c r="Z13" s="75"/>
      <c r="AA13" s="86"/>
      <c r="AB13" s="87"/>
      <c r="AH13" s="30"/>
      <c r="AI13" s="30"/>
    </row>
    <row r="14" spans="1:35" ht="23.4">
      <c r="A14" s="426" t="s">
        <v>207</v>
      </c>
      <c r="B14" s="519"/>
      <c r="C14" s="402">
        <v>2.5</v>
      </c>
      <c r="D14" s="226"/>
      <c r="E14" s="168"/>
      <c r="F14" s="522"/>
      <c r="G14" s="523"/>
      <c r="H14" s="416"/>
      <c r="I14" s="324">
        <v>0</v>
      </c>
      <c r="J14" s="226">
        <f t="shared" si="5"/>
        <v>8</v>
      </c>
      <c r="K14" s="116">
        <f>C14+I14</f>
        <v>2.5</v>
      </c>
      <c r="L14" s="363"/>
      <c r="M14" s="118"/>
      <c r="N14" s="28"/>
      <c r="O14" s="28"/>
      <c r="P14" s="111"/>
      <c r="Q14" s="76"/>
      <c r="R14" s="76"/>
      <c r="S14" s="76"/>
      <c r="T14" s="76"/>
      <c r="U14" s="76"/>
      <c r="V14" s="76"/>
      <c r="W14" s="76"/>
      <c r="X14" s="76"/>
      <c r="Y14" s="76"/>
      <c r="Z14" s="75"/>
      <c r="AA14" s="86"/>
      <c r="AB14" s="87"/>
      <c r="AH14" s="30"/>
      <c r="AI14" s="30"/>
    </row>
    <row r="15" spans="1:35" ht="23.4">
      <c r="A15" s="426" t="s">
        <v>209</v>
      </c>
      <c r="B15" s="519"/>
      <c r="C15" s="402"/>
      <c r="D15" s="226"/>
      <c r="E15" s="348"/>
      <c r="F15" s="522"/>
      <c r="G15" s="523"/>
      <c r="H15" s="416"/>
      <c r="I15" s="324"/>
      <c r="J15" s="226"/>
      <c r="K15" s="116"/>
      <c r="L15" s="363"/>
      <c r="M15" s="118"/>
      <c r="N15" s="28"/>
      <c r="O15" s="28"/>
      <c r="P15" s="111"/>
      <c r="Q15" s="76"/>
      <c r="R15" s="76"/>
      <c r="S15" s="76"/>
      <c r="T15" s="76"/>
      <c r="U15" s="76"/>
      <c r="V15" s="76"/>
      <c r="W15" s="76"/>
      <c r="X15" s="76"/>
      <c r="Y15" s="76"/>
      <c r="Z15" s="75"/>
      <c r="AA15" s="86"/>
      <c r="AB15" s="87"/>
      <c r="AH15" s="30"/>
      <c r="AI15" s="30"/>
    </row>
    <row r="16" spans="1:35" s="131" customFormat="1" ht="23.4">
      <c r="A16" s="426" t="s">
        <v>206</v>
      </c>
      <c r="B16" s="519">
        <v>167.416</v>
      </c>
      <c r="C16" s="402">
        <f t="shared" si="1"/>
        <v>2.5</v>
      </c>
      <c r="D16" s="226">
        <f t="shared" si="0"/>
        <v>8</v>
      </c>
      <c r="E16" s="168"/>
      <c r="F16" s="522">
        <v>0.13800000000000001</v>
      </c>
      <c r="G16" s="523">
        <v>1.31</v>
      </c>
      <c r="H16" s="416">
        <f t="shared" si="6"/>
        <v>9.4927536231884062</v>
      </c>
      <c r="I16" s="324">
        <f t="shared" si="3"/>
        <v>0</v>
      </c>
      <c r="J16" s="226">
        <f t="shared" si="5"/>
        <v>8</v>
      </c>
      <c r="K16" s="116">
        <f>C16+I16</f>
        <v>2.5</v>
      </c>
      <c r="L16" s="363"/>
      <c r="M16" s="139"/>
      <c r="N16" s="138"/>
      <c r="O16" s="138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26"/>
      <c r="AA16" s="134"/>
      <c r="AB16" s="133"/>
      <c r="AC16" s="130"/>
      <c r="AH16" s="141"/>
      <c r="AI16" s="141"/>
    </row>
    <row r="17" spans="1:35" s="131" customFormat="1" ht="23.4">
      <c r="A17" s="426" t="s">
        <v>205</v>
      </c>
      <c r="B17" s="519">
        <v>8.7650000000000006</v>
      </c>
      <c r="C17" s="402">
        <f t="shared" si="1"/>
        <v>48.672600666617647</v>
      </c>
      <c r="D17" s="226">
        <f t="shared" si="0"/>
        <v>2</v>
      </c>
      <c r="E17" s="168"/>
      <c r="F17" s="522">
        <v>9.5000000000000001E-2</v>
      </c>
      <c r="G17" s="523">
        <v>1.31</v>
      </c>
      <c r="H17" s="416">
        <f t="shared" si="6"/>
        <v>13.789473684210527</v>
      </c>
      <c r="I17" s="324">
        <f t="shared" si="3"/>
        <v>27.741935483870968</v>
      </c>
      <c r="J17" s="226">
        <f t="shared" si="5"/>
        <v>6</v>
      </c>
      <c r="K17" s="116">
        <f>C17+I17</f>
        <v>76.414536150488615</v>
      </c>
      <c r="L17" s="363"/>
      <c r="M17" s="139"/>
      <c r="N17" s="138"/>
      <c r="O17" s="138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26"/>
      <c r="AA17" s="134"/>
      <c r="AB17" s="133"/>
      <c r="AC17" s="130"/>
      <c r="AH17" s="141"/>
      <c r="AI17" s="141"/>
    </row>
    <row r="18" spans="1:35" ht="23.4">
      <c r="A18" s="426" t="s">
        <v>204</v>
      </c>
      <c r="B18" s="519">
        <v>10.551</v>
      </c>
      <c r="C18" s="402">
        <f t="shared" si="1"/>
        <v>48.152816582114056</v>
      </c>
      <c r="D18" s="226">
        <f t="shared" si="0"/>
        <v>3</v>
      </c>
      <c r="E18" s="168"/>
      <c r="F18" s="522">
        <v>9.8000000000000004E-2</v>
      </c>
      <c r="G18" s="523">
        <v>1.31</v>
      </c>
      <c r="H18" s="416">
        <f t="shared" si="6"/>
        <v>13.36734693877551</v>
      </c>
      <c r="I18" s="324">
        <f t="shared" si="3"/>
        <v>25.016458196181695</v>
      </c>
      <c r="J18" s="226">
        <f t="shared" si="5"/>
        <v>7</v>
      </c>
      <c r="K18" s="116">
        <f>C18+I18</f>
        <v>73.169274778295744</v>
      </c>
      <c r="L18" s="364"/>
      <c r="M18" s="37"/>
      <c r="N18" s="37"/>
      <c r="O18" s="37"/>
      <c r="P18" s="117"/>
      <c r="Q18" s="91"/>
      <c r="R18" s="91"/>
      <c r="S18" s="92"/>
      <c r="T18" s="92"/>
      <c r="U18" s="92"/>
      <c r="V18" s="92"/>
      <c r="W18" s="92"/>
      <c r="X18" s="92"/>
      <c r="Y18" s="92"/>
      <c r="Z18" s="93"/>
      <c r="AA18" s="94"/>
      <c r="AB18" s="95"/>
      <c r="AC18" s="44"/>
      <c r="AD18" s="31"/>
      <c r="AE18" s="31"/>
      <c r="AF18" s="31"/>
      <c r="AG18" s="31"/>
      <c r="AH18" s="30"/>
      <c r="AI18" s="30"/>
    </row>
    <row r="19" spans="1:35" ht="14.4">
      <c r="A19" s="328"/>
      <c r="B19" s="123"/>
      <c r="C19" s="90"/>
      <c r="D19" s="90"/>
      <c r="E19" s="90"/>
      <c r="F19" s="90"/>
      <c r="G19" s="90"/>
      <c r="H19" s="90"/>
      <c r="I19" s="90"/>
      <c r="J19" s="90"/>
      <c r="K19" s="254"/>
      <c r="L19" s="365"/>
      <c r="M19" s="90"/>
      <c r="N19" s="97"/>
      <c r="O19" s="88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98"/>
      <c r="AA19" s="104"/>
      <c r="AB19" s="108"/>
      <c r="AC19" s="44"/>
      <c r="AD19" s="31"/>
      <c r="AE19" s="31"/>
      <c r="AF19" s="31"/>
      <c r="AG19" s="31"/>
      <c r="AH19" s="30"/>
      <c r="AI19" s="30"/>
    </row>
    <row r="20" spans="1:35">
      <c r="A20" s="81"/>
      <c r="B20" s="90"/>
      <c r="C20" s="90"/>
      <c r="D20" s="90"/>
      <c r="E20" s="90"/>
      <c r="F20" s="90"/>
      <c r="G20" s="90"/>
      <c r="H20" s="90"/>
      <c r="I20" s="90"/>
      <c r="J20" s="90"/>
      <c r="K20" s="254"/>
      <c r="L20" s="90"/>
      <c r="M20" s="90"/>
      <c r="N20" s="97"/>
      <c r="O20" s="88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98"/>
      <c r="AA20" s="104"/>
      <c r="AB20" s="108"/>
      <c r="AC20" s="44"/>
      <c r="AD20" s="31"/>
      <c r="AE20" s="31"/>
      <c r="AF20" s="31"/>
      <c r="AG20" s="31"/>
      <c r="AH20" s="30"/>
      <c r="AI20" s="30"/>
    </row>
    <row r="21" spans="1:35" ht="13.8">
      <c r="A21" s="81" t="s">
        <v>190</v>
      </c>
      <c r="B21" s="338">
        <f>(50-2.5)/(F1-F2)</f>
        <v>-0.29103252211847169</v>
      </c>
      <c r="D21" s="129"/>
      <c r="E21" s="90"/>
      <c r="F21" s="338">
        <f>(50)/(J2-J1)</f>
        <v>6.4565377985717811</v>
      </c>
      <c r="G21" s="90"/>
      <c r="I21" s="90"/>
      <c r="J21" s="90"/>
      <c r="K21" s="254"/>
      <c r="L21" s="90"/>
      <c r="M21" s="90"/>
      <c r="N21" s="97"/>
      <c r="O21" s="88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98"/>
      <c r="AA21" s="109"/>
      <c r="AB21" s="108"/>
    </row>
    <row r="22" spans="1:35" ht="13.8">
      <c r="A22" s="81" t="s">
        <v>191</v>
      </c>
      <c r="B22" s="339">
        <f>2.5-(B21*F2)</f>
        <v>51.223500722986053</v>
      </c>
      <c r="D22" s="163" t="s">
        <v>44</v>
      </c>
      <c r="E22" s="90"/>
      <c r="F22" s="339">
        <f>-(F21*J1)</f>
        <v>-61.290322580645174</v>
      </c>
      <c r="G22" s="90"/>
      <c r="I22" s="90"/>
      <c r="J22" s="90"/>
      <c r="K22" s="254"/>
      <c r="L22" s="90"/>
      <c r="M22" s="90"/>
      <c r="N22" s="97"/>
      <c r="O22" s="88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98"/>
      <c r="AA22" s="109"/>
      <c r="AB22" s="108"/>
    </row>
    <row r="23" spans="1:35" ht="13.8">
      <c r="A23" s="81" t="s">
        <v>44</v>
      </c>
      <c r="B23" s="82"/>
      <c r="C23" s="162"/>
      <c r="D23" s="162"/>
      <c r="E23" s="82"/>
      <c r="F23" s="82"/>
      <c r="G23" s="82"/>
      <c r="H23" s="82"/>
      <c r="I23" s="82"/>
      <c r="J23" s="82"/>
      <c r="K23" s="254"/>
      <c r="L23" s="82"/>
      <c r="M23" s="82"/>
      <c r="N23" s="97"/>
      <c r="O23" s="88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98"/>
      <c r="AA23" s="109"/>
      <c r="AB23" s="108"/>
    </row>
    <row r="24" spans="1:35">
      <c r="A24" s="81"/>
      <c r="B24" s="90"/>
      <c r="C24" s="90" t="s">
        <v>44</v>
      </c>
      <c r="D24" s="165" t="s">
        <v>44</v>
      </c>
      <c r="E24" s="90"/>
      <c r="F24" s="90"/>
      <c r="G24" s="90"/>
      <c r="H24" s="90"/>
      <c r="I24" s="90"/>
      <c r="J24" s="90"/>
      <c r="K24" s="254"/>
      <c r="L24" s="90"/>
      <c r="M24" s="90"/>
      <c r="N24" s="97"/>
      <c r="O24" s="88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98"/>
      <c r="AA24" s="109"/>
      <c r="AB24" s="108"/>
    </row>
    <row r="25" spans="1:35">
      <c r="A25" s="81"/>
      <c r="B25" s="90"/>
      <c r="C25" s="90" t="s">
        <v>77</v>
      </c>
      <c r="D25" s="90"/>
      <c r="E25" s="90"/>
      <c r="F25" s="90"/>
      <c r="G25" s="90"/>
      <c r="H25" s="90"/>
      <c r="I25" s="90"/>
      <c r="J25" s="90"/>
      <c r="K25" s="254"/>
      <c r="L25" s="90"/>
      <c r="M25" s="90"/>
      <c r="N25" s="97"/>
      <c r="O25" s="88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98"/>
      <c r="AA25" s="109"/>
      <c r="AB25" s="108"/>
    </row>
    <row r="26" spans="1:35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254"/>
      <c r="L26" s="82"/>
      <c r="M26" s="82"/>
      <c r="N26" s="97"/>
      <c r="O26" s="88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98"/>
      <c r="AA26" s="109"/>
      <c r="AB26" s="108"/>
    </row>
    <row r="27" spans="1:3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254"/>
      <c r="L27" s="82"/>
      <c r="M27" s="82"/>
      <c r="N27" s="97"/>
      <c r="O27" s="88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98"/>
      <c r="AA27" s="109"/>
      <c r="AB27" s="108"/>
    </row>
    <row r="28" spans="1:35">
      <c r="A28" s="81"/>
      <c r="B28" s="90"/>
      <c r="C28" s="90"/>
      <c r="D28" s="90"/>
      <c r="E28" s="90"/>
      <c r="F28" s="90"/>
      <c r="G28" s="90"/>
      <c r="H28" s="90"/>
      <c r="I28" s="90"/>
      <c r="J28" s="90"/>
      <c r="K28" s="254"/>
      <c r="L28" s="90"/>
      <c r="M28" s="90"/>
      <c r="N28" s="97"/>
      <c r="O28" s="88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98"/>
      <c r="AA28" s="109"/>
      <c r="AB28" s="108"/>
    </row>
    <row r="29" spans="1:35">
      <c r="A29" s="81"/>
      <c r="B29" s="90"/>
      <c r="C29" s="90"/>
      <c r="D29" s="90"/>
      <c r="E29" s="90"/>
      <c r="F29" s="90"/>
      <c r="G29" s="90"/>
      <c r="H29" s="90"/>
      <c r="I29" s="90"/>
      <c r="J29" s="90"/>
      <c r="K29" s="254"/>
      <c r="L29" s="90"/>
      <c r="M29" s="90"/>
      <c r="N29" s="97"/>
      <c r="O29" s="88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98"/>
      <c r="AA29" s="109"/>
      <c r="AB29" s="108"/>
    </row>
    <row r="30" spans="1:35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254"/>
      <c r="L30" s="82"/>
      <c r="M30" s="82"/>
      <c r="N30" s="97"/>
      <c r="O30" s="88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98"/>
      <c r="AA30" s="109"/>
      <c r="AB30" s="108"/>
    </row>
    <row r="31" spans="1:35">
      <c r="A31" s="81"/>
      <c r="B31" s="110"/>
      <c r="C31" s="90"/>
      <c r="D31" s="90"/>
      <c r="E31" s="90"/>
      <c r="F31" s="90"/>
      <c r="G31" s="90"/>
      <c r="H31" s="90"/>
      <c r="I31" s="90"/>
      <c r="J31" s="90"/>
      <c r="K31" s="254"/>
      <c r="L31" s="90"/>
      <c r="M31" s="90"/>
      <c r="N31" s="97"/>
      <c r="O31" s="88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98"/>
      <c r="AA31" s="109"/>
      <c r="AB31" s="108"/>
    </row>
    <row r="32" spans="1:35">
      <c r="A32" s="81"/>
      <c r="B32" s="90"/>
      <c r="C32" s="90"/>
      <c r="D32" s="90"/>
      <c r="E32" s="90"/>
      <c r="F32" s="90"/>
      <c r="G32" s="90"/>
      <c r="H32" s="90"/>
      <c r="I32" s="90"/>
      <c r="J32" s="90"/>
      <c r="K32" s="254"/>
      <c r="L32" s="90"/>
      <c r="M32" s="90"/>
      <c r="N32" s="98"/>
      <c r="O32" s="88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98"/>
      <c r="AA32" s="109"/>
      <c r="AB32" s="80"/>
    </row>
    <row r="33" spans="1:28">
      <c r="A33" s="81"/>
      <c r="B33" s="82"/>
      <c r="C33" s="82"/>
      <c r="D33" s="158"/>
      <c r="E33" s="67"/>
      <c r="F33" s="67"/>
      <c r="G33" s="82"/>
      <c r="H33" s="82"/>
      <c r="I33" s="82"/>
      <c r="J33" s="82"/>
      <c r="K33" s="254"/>
      <c r="L33" s="82"/>
      <c r="M33" s="82"/>
      <c r="N33" s="97"/>
      <c r="O33" s="88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98"/>
      <c r="AA33" s="109"/>
      <c r="AB33" s="108"/>
    </row>
    <row r="34" spans="1:28">
      <c r="A34" s="81"/>
      <c r="B34" s="90"/>
      <c r="C34" s="90"/>
      <c r="D34" s="67"/>
      <c r="E34" s="67"/>
      <c r="F34" s="157"/>
      <c r="G34" s="155"/>
      <c r="H34" s="155"/>
      <c r="I34" s="155"/>
      <c r="J34" s="90"/>
      <c r="K34" s="254"/>
      <c r="L34" s="90"/>
      <c r="M34" s="90"/>
      <c r="N34" s="97"/>
      <c r="O34" s="88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98"/>
      <c r="AA34" s="109"/>
      <c r="AB34" s="108"/>
    </row>
    <row r="35" spans="1:28">
      <c r="A35" s="81"/>
      <c r="B35" s="90"/>
      <c r="C35" s="82"/>
      <c r="D35" s="67"/>
      <c r="E35" s="67"/>
      <c r="F35" s="67"/>
      <c r="G35" s="82"/>
      <c r="H35" s="82"/>
      <c r="I35" s="82"/>
      <c r="J35" s="82"/>
      <c r="K35" s="254"/>
      <c r="L35" s="82"/>
      <c r="M35" s="82"/>
      <c r="N35" s="97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98"/>
      <c r="AA35" s="109"/>
      <c r="AB35" s="108"/>
    </row>
    <row r="36" spans="1:28">
      <c r="A36" s="75"/>
      <c r="B36" s="82"/>
      <c r="C36" s="82"/>
      <c r="D36" s="82"/>
      <c r="E36" s="82"/>
      <c r="F36" s="82"/>
      <c r="G36" s="82"/>
      <c r="H36" s="82"/>
      <c r="I36" s="82"/>
      <c r="J36" s="82"/>
      <c r="K36" s="254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109"/>
      <c r="AB36" s="80"/>
    </row>
    <row r="37" spans="1:28">
      <c r="A37" s="75"/>
      <c r="B37" s="82"/>
      <c r="C37" s="82"/>
      <c r="D37" s="82"/>
      <c r="E37" s="82"/>
      <c r="F37" s="82"/>
      <c r="G37" s="82"/>
      <c r="H37" s="82"/>
      <c r="I37" s="82"/>
      <c r="J37" s="82"/>
      <c r="K37" s="254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109"/>
      <c r="AB37" s="80"/>
    </row>
    <row r="38" spans="1:28">
      <c r="A38" s="75"/>
      <c r="B38" s="84"/>
      <c r="C38" s="84"/>
      <c r="D38" s="84"/>
      <c r="E38" s="84"/>
      <c r="F38" s="84"/>
      <c r="G38" s="84"/>
      <c r="H38" s="84"/>
      <c r="I38" s="84"/>
      <c r="J38" s="84"/>
      <c r="K38" s="255"/>
      <c r="L38" s="84"/>
      <c r="M38" s="84"/>
      <c r="N38" s="84"/>
      <c r="O38" s="82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109"/>
      <c r="AB38" s="80"/>
    </row>
    <row r="39" spans="1:28">
      <c r="A39" s="100"/>
      <c r="B39" s="82"/>
      <c r="C39" s="82"/>
      <c r="D39" s="82"/>
      <c r="E39" s="82"/>
      <c r="F39" s="82"/>
      <c r="G39" s="82"/>
      <c r="H39" s="82"/>
      <c r="I39" s="82"/>
      <c r="J39" s="82"/>
      <c r="K39" s="254"/>
      <c r="L39" s="82"/>
      <c r="M39" s="82"/>
      <c r="N39" s="97"/>
      <c r="O39" s="88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98"/>
      <c r="AA39" s="109"/>
      <c r="AB39" s="108"/>
    </row>
    <row r="40" spans="1:28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254"/>
      <c r="L40" s="82"/>
      <c r="M40" s="82"/>
      <c r="N40" s="97"/>
      <c r="O40" s="88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98"/>
      <c r="AA40" s="109"/>
      <c r="AB40" s="108"/>
    </row>
    <row r="41" spans="1:28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254"/>
      <c r="L41" s="82"/>
      <c r="M41" s="82"/>
      <c r="N41" s="97"/>
      <c r="O41" s="88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8"/>
      <c r="AA41" s="109"/>
      <c r="AB41" s="108"/>
    </row>
    <row r="42" spans="1:28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254"/>
      <c r="L42" s="82"/>
      <c r="M42" s="82"/>
      <c r="N42" s="97"/>
      <c r="O42" s="88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98"/>
      <c r="AA42" s="109"/>
      <c r="AB42" s="108"/>
    </row>
    <row r="43" spans="1:28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254"/>
      <c r="L43" s="82"/>
      <c r="M43" s="82"/>
      <c r="N43" s="97"/>
      <c r="O43" s="88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98"/>
      <c r="AA43" s="109"/>
      <c r="AB43" s="108"/>
    </row>
    <row r="44" spans="1:28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254"/>
      <c r="L44" s="82"/>
      <c r="M44" s="82"/>
      <c r="N44" s="97"/>
      <c r="O44" s="88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98"/>
      <c r="AA44" s="109"/>
      <c r="AB44" s="108"/>
    </row>
    <row r="45" spans="1:28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254"/>
      <c r="L45" s="82"/>
      <c r="M45" s="82"/>
      <c r="N45" s="97"/>
      <c r="O45" s="88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98"/>
      <c r="AA45" s="109"/>
      <c r="AB45" s="108"/>
    </row>
    <row r="46" spans="1:28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254"/>
      <c r="L46" s="82"/>
      <c r="M46" s="82"/>
      <c r="N46" s="97"/>
      <c r="O46" s="88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98"/>
      <c r="AA46" s="109"/>
      <c r="AB46" s="108"/>
    </row>
    <row r="47" spans="1:28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254"/>
      <c r="L47" s="82"/>
      <c r="M47" s="82"/>
      <c r="N47" s="97"/>
      <c r="O47" s="88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98"/>
      <c r="AA47" s="109"/>
      <c r="AB47" s="108"/>
    </row>
    <row r="48" spans="1:28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254"/>
      <c r="L48" s="82"/>
      <c r="M48" s="82"/>
      <c r="N48" s="97"/>
      <c r="O48" s="88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98"/>
      <c r="AA48" s="109"/>
      <c r="AB48" s="108"/>
    </row>
    <row r="49" spans="1:28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254"/>
      <c r="L49" s="82"/>
      <c r="M49" s="82"/>
      <c r="N49" s="97"/>
      <c r="O49" s="88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98"/>
      <c r="AA49" s="109"/>
      <c r="AB49" s="108"/>
    </row>
    <row r="50" spans="1:28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254"/>
      <c r="L50" s="82"/>
      <c r="M50" s="82"/>
      <c r="N50" s="97"/>
      <c r="O50" s="88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98"/>
      <c r="AA50" s="109"/>
      <c r="AB50" s="108"/>
    </row>
    <row r="51" spans="1:28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254"/>
      <c r="L51" s="82"/>
      <c r="M51" s="82"/>
      <c r="N51" s="97"/>
      <c r="O51" s="88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98"/>
      <c r="AA51" s="109"/>
      <c r="AB51" s="108"/>
    </row>
    <row r="52" spans="1:28">
      <c r="A52" s="81"/>
      <c r="B52" s="90"/>
      <c r="C52" s="90"/>
      <c r="D52" s="90"/>
      <c r="E52" s="90"/>
      <c r="F52" s="90"/>
      <c r="G52" s="90"/>
      <c r="H52" s="90"/>
      <c r="I52" s="90"/>
      <c r="J52" s="90"/>
      <c r="K52" s="254"/>
      <c r="L52" s="90"/>
      <c r="M52" s="90"/>
      <c r="N52" s="98"/>
      <c r="O52" s="88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8"/>
      <c r="AA52" s="109"/>
      <c r="AB52" s="80"/>
    </row>
    <row r="53" spans="1:28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254"/>
      <c r="L53" s="82"/>
      <c r="M53" s="82"/>
      <c r="N53" s="97"/>
      <c r="O53" s="88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8"/>
      <c r="AA53" s="109"/>
      <c r="AB53" s="108"/>
    </row>
    <row r="54" spans="1:28">
      <c r="A54" s="81"/>
      <c r="B54" s="82"/>
      <c r="C54" s="82"/>
      <c r="D54" s="82"/>
      <c r="E54" s="82"/>
      <c r="F54" s="82"/>
      <c r="G54" s="82"/>
      <c r="H54" s="82"/>
      <c r="I54" s="82"/>
      <c r="J54" s="82"/>
      <c r="K54" s="254"/>
      <c r="L54" s="82"/>
      <c r="M54" s="82"/>
      <c r="N54" s="97"/>
      <c r="O54" s="88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98"/>
      <c r="AA54" s="109"/>
      <c r="AB54" s="108"/>
    </row>
    <row r="55" spans="1:28">
      <c r="A55" s="81"/>
      <c r="B55" s="109"/>
      <c r="C55" s="109"/>
      <c r="D55" s="109"/>
      <c r="E55" s="109"/>
      <c r="F55" s="109"/>
      <c r="G55" s="109"/>
      <c r="H55" s="109"/>
      <c r="I55" s="109"/>
      <c r="J55" s="109"/>
      <c r="K55" s="256"/>
      <c r="L55" s="109"/>
      <c r="M55" s="109"/>
      <c r="N55" s="101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2"/>
      <c r="AA55" s="109"/>
      <c r="AB55" s="80"/>
    </row>
    <row r="56" spans="1:28">
      <c r="A56" s="86"/>
      <c r="B56" s="109"/>
      <c r="C56" s="109"/>
      <c r="D56" s="109"/>
      <c r="E56" s="109"/>
      <c r="F56" s="109"/>
      <c r="G56" s="109"/>
      <c r="H56" s="109"/>
      <c r="I56" s="109"/>
      <c r="J56" s="109"/>
      <c r="K56" s="256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80"/>
    </row>
    <row r="57" spans="1:28">
      <c r="A57" s="86"/>
      <c r="B57" s="80"/>
      <c r="C57" s="80"/>
      <c r="D57" s="80"/>
      <c r="E57" s="80"/>
      <c r="F57" s="80"/>
      <c r="G57" s="80"/>
      <c r="H57" s="80"/>
      <c r="I57" s="80"/>
      <c r="J57" s="80"/>
      <c r="K57" s="257"/>
      <c r="L57" s="80"/>
      <c r="M57" s="80"/>
      <c r="N57" s="109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</row>
    <row r="58" spans="1:28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258"/>
      <c r="L58" s="87"/>
      <c r="M58" s="87"/>
      <c r="N58" s="99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</row>
    <row r="59" spans="1:28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258"/>
      <c r="L59" s="87"/>
      <c r="M59" s="87"/>
      <c r="N59" s="99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</row>
    <row r="60" spans="1:28">
      <c r="A60" s="86"/>
      <c r="B60" s="87"/>
      <c r="C60" s="87"/>
      <c r="D60" s="87"/>
      <c r="E60" s="87"/>
      <c r="F60" s="87"/>
      <c r="G60" s="87"/>
      <c r="H60" s="87"/>
      <c r="I60" s="87"/>
      <c r="J60" s="87"/>
      <c r="K60" s="258"/>
      <c r="L60" s="87"/>
      <c r="M60" s="87"/>
      <c r="N60" s="99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</row>
    <row r="61" spans="1:28">
      <c r="A61" s="86"/>
      <c r="B61" s="87"/>
      <c r="C61" s="87"/>
      <c r="D61" s="87"/>
      <c r="E61" s="87"/>
      <c r="F61" s="87"/>
      <c r="G61" s="87"/>
      <c r="H61" s="87"/>
      <c r="I61" s="87"/>
      <c r="J61" s="87"/>
      <c r="K61" s="258"/>
      <c r="L61" s="87"/>
      <c r="M61" s="87"/>
      <c r="N61" s="99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</row>
    <row r="62" spans="1:28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259"/>
      <c r="L62" s="87"/>
      <c r="M62" s="87"/>
      <c r="N62" s="99"/>
      <c r="O62" s="87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6"/>
      <c r="AA62" s="86"/>
      <c r="AB62" s="87"/>
    </row>
    <row r="63" spans="1:28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259"/>
      <c r="L63" s="87"/>
      <c r="M63" s="87"/>
      <c r="N63" s="99"/>
      <c r="O63" s="87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6"/>
      <c r="AA63" s="86"/>
      <c r="AB63" s="87"/>
    </row>
    <row r="64" spans="1:28">
      <c r="A64" s="86"/>
      <c r="N64" s="39"/>
    </row>
    <row r="65" spans="14:14">
      <c r="N65" s="39"/>
    </row>
    <row r="66" spans="14:14">
      <c r="N66" s="39"/>
    </row>
    <row r="67" spans="14:14">
      <c r="N67" s="39"/>
    </row>
    <row r="68" spans="14:14">
      <c r="N68" s="39"/>
    </row>
    <row r="69" spans="14:14">
      <c r="N69" s="39"/>
    </row>
    <row r="70" spans="14:14">
      <c r="N70" s="39"/>
    </row>
    <row r="71" spans="14:14">
      <c r="N71" s="39"/>
    </row>
    <row r="72" spans="14:14">
      <c r="N72" s="39"/>
    </row>
    <row r="73" spans="14:14">
      <c r="N73" s="39"/>
    </row>
    <row r="74" spans="14:14">
      <c r="N74" s="39"/>
    </row>
    <row r="75" spans="14:14">
      <c r="N75" s="39"/>
    </row>
    <row r="76" spans="14:14">
      <c r="N76" s="39"/>
    </row>
    <row r="77" spans="14:14">
      <c r="N77" s="39"/>
    </row>
    <row r="78" spans="14:14">
      <c r="N78" s="39"/>
    </row>
    <row r="79" spans="14:14">
      <c r="N79" s="39"/>
    </row>
    <row r="80" spans="14:14">
      <c r="N80" s="39"/>
    </row>
    <row r="81" spans="14:14">
      <c r="N81" s="39"/>
    </row>
    <row r="82" spans="14:14">
      <c r="N82" s="39"/>
    </row>
    <row r="83" spans="14:14">
      <c r="N83" s="39"/>
    </row>
    <row r="84" spans="14:14">
      <c r="N84" s="39"/>
    </row>
    <row r="85" spans="14:14">
      <c r="N85" s="39"/>
    </row>
    <row r="86" spans="14:14">
      <c r="N86" s="39"/>
    </row>
    <row r="87" spans="14:14">
      <c r="N87" s="39"/>
    </row>
    <row r="88" spans="14:14">
      <c r="N88" s="39"/>
    </row>
    <row r="89" spans="14:14">
      <c r="N89" s="39"/>
    </row>
    <row r="90" spans="14:14">
      <c r="N90" s="39"/>
    </row>
    <row r="91" spans="14:14">
      <c r="N91" s="39"/>
    </row>
    <row r="92" spans="14:14">
      <c r="N92" s="39"/>
    </row>
    <row r="93" spans="14:14">
      <c r="N93" s="39"/>
    </row>
    <row r="94" spans="14:14">
      <c r="N94" s="39"/>
    </row>
    <row r="95" spans="14:14">
      <c r="N95" s="39"/>
    </row>
    <row r="96" spans="14:14">
      <c r="N96" s="39"/>
    </row>
    <row r="97" spans="14:14">
      <c r="N97" s="39"/>
    </row>
  </sheetData>
  <phoneticPr fontId="24" type="noConversion"/>
  <pageMargins left="0.75" right="0.75" top="1" bottom="1" header="0.5" footer="0.5"/>
  <pageSetup scale="7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F15" sqref="F15"/>
    </sheetView>
  </sheetViews>
  <sheetFormatPr defaultColWidth="8.88671875" defaultRowHeight="13.2"/>
  <cols>
    <col min="1" max="1" width="56.109375" customWidth="1"/>
    <col min="2" max="2" width="17.6640625" bestFit="1" customWidth="1"/>
    <col min="3" max="3" width="14.6640625" style="154" customWidth="1"/>
    <col min="4" max="4" width="8.88671875" style="3"/>
  </cols>
  <sheetData>
    <row r="1" spans="1:5" ht="17.399999999999999">
      <c r="A1" s="7" t="s">
        <v>221</v>
      </c>
      <c r="B1" s="6"/>
      <c r="C1" s="225"/>
      <c r="D1" s="18"/>
      <c r="E1" s="6"/>
    </row>
    <row r="2" spans="1:5">
      <c r="A2" s="190"/>
      <c r="B2" s="10"/>
      <c r="C2" s="225"/>
      <c r="D2" s="240"/>
      <c r="E2" s="6"/>
    </row>
    <row r="3" spans="1:5">
      <c r="A3" s="12"/>
      <c r="B3" s="15" t="s">
        <v>17</v>
      </c>
      <c r="C3" s="51" t="s">
        <v>14</v>
      </c>
      <c r="D3" s="240"/>
      <c r="E3" s="240"/>
    </row>
    <row r="4" spans="1:5" ht="23.4">
      <c r="A4" s="426" t="s">
        <v>169</v>
      </c>
      <c r="B4" s="393" t="s">
        <v>174</v>
      </c>
      <c r="C4" s="51">
        <f>IF(B4="fail",0,50)</f>
        <v>0</v>
      </c>
      <c r="D4" s="240"/>
      <c r="E4" s="6"/>
    </row>
    <row r="5" spans="1:5" ht="23.4">
      <c r="A5" s="426" t="s">
        <v>198</v>
      </c>
      <c r="B5" s="393" t="s">
        <v>174</v>
      </c>
      <c r="C5" s="51">
        <f t="shared" ref="C5:C16" si="0">IF(B5="fail",0,50)</f>
        <v>0</v>
      </c>
      <c r="D5" s="240"/>
      <c r="E5" s="6"/>
    </row>
    <row r="6" spans="1:5" ht="23.4">
      <c r="A6" s="426" t="s">
        <v>199</v>
      </c>
      <c r="B6" s="393" t="s">
        <v>174</v>
      </c>
      <c r="C6" s="51">
        <f t="shared" si="0"/>
        <v>0</v>
      </c>
      <c r="D6" s="240"/>
      <c r="E6" s="6"/>
    </row>
    <row r="7" spans="1:5" s="187" customFormat="1" ht="23.4">
      <c r="A7" s="426" t="s">
        <v>200</v>
      </c>
      <c r="B7" s="393" t="s">
        <v>174</v>
      </c>
      <c r="C7" s="51">
        <f t="shared" si="0"/>
        <v>0</v>
      </c>
      <c r="D7" s="211"/>
      <c r="E7" s="190"/>
    </row>
    <row r="8" spans="1:5" s="232" customFormat="1" ht="23.4">
      <c r="A8" s="426" t="s">
        <v>201</v>
      </c>
      <c r="B8" s="393" t="s">
        <v>174</v>
      </c>
      <c r="C8" s="51">
        <f t="shared" si="0"/>
        <v>0</v>
      </c>
      <c r="D8" s="211"/>
      <c r="E8" s="231"/>
    </row>
    <row r="9" spans="1:5" ht="23.4">
      <c r="A9" s="426" t="s">
        <v>202</v>
      </c>
      <c r="B9" s="393" t="s">
        <v>174</v>
      </c>
      <c r="C9" s="51">
        <f t="shared" si="0"/>
        <v>0</v>
      </c>
      <c r="D9" s="18"/>
      <c r="E9" s="6"/>
    </row>
    <row r="10" spans="1:5" ht="23.4">
      <c r="A10" s="426" t="s">
        <v>203</v>
      </c>
      <c r="B10" s="393" t="s">
        <v>174</v>
      </c>
      <c r="C10" s="51">
        <f t="shared" si="0"/>
        <v>0</v>
      </c>
      <c r="D10" s="18"/>
      <c r="E10" s="6"/>
    </row>
    <row r="11" spans="1:5" ht="23.4">
      <c r="A11" s="426" t="s">
        <v>208</v>
      </c>
      <c r="B11" s="393" t="s">
        <v>174</v>
      </c>
      <c r="C11" s="51">
        <f t="shared" si="0"/>
        <v>0</v>
      </c>
      <c r="D11" s="18"/>
      <c r="E11" s="6"/>
    </row>
    <row r="12" spans="1:5" ht="23.4">
      <c r="A12" s="426" t="s">
        <v>207</v>
      </c>
      <c r="B12" s="393" t="s">
        <v>174</v>
      </c>
      <c r="C12" s="51">
        <f t="shared" si="0"/>
        <v>0</v>
      </c>
      <c r="D12" s="18"/>
      <c r="E12" s="6"/>
    </row>
    <row r="13" spans="1:5" s="131" customFormat="1" ht="23.4">
      <c r="A13" s="426" t="s">
        <v>209</v>
      </c>
      <c r="B13" s="393" t="s">
        <v>174</v>
      </c>
      <c r="C13" s="51">
        <f t="shared" si="0"/>
        <v>0</v>
      </c>
      <c r="D13" s="132"/>
      <c r="E13" s="125"/>
    </row>
    <row r="14" spans="1:5" s="131" customFormat="1" ht="23.4">
      <c r="A14" s="426" t="s">
        <v>206</v>
      </c>
      <c r="B14" s="393" t="s">
        <v>174</v>
      </c>
      <c r="C14" s="51">
        <f t="shared" si="0"/>
        <v>0</v>
      </c>
      <c r="D14" s="401"/>
      <c r="E14" s="125"/>
    </row>
    <row r="15" spans="1:5" s="131" customFormat="1" ht="23.4">
      <c r="A15" s="426" t="s">
        <v>205</v>
      </c>
      <c r="B15" s="393" t="s">
        <v>173</v>
      </c>
      <c r="C15" s="51">
        <f t="shared" si="0"/>
        <v>50</v>
      </c>
      <c r="D15" s="132"/>
      <c r="E15" s="125"/>
    </row>
    <row r="16" spans="1:5" ht="23.4">
      <c r="A16" s="426" t="s">
        <v>204</v>
      </c>
      <c r="B16" s="393" t="s">
        <v>173</v>
      </c>
      <c r="C16" s="51">
        <f t="shared" si="0"/>
        <v>50</v>
      </c>
    </row>
  </sheetData>
  <phoneticPr fontId="24" type="noConversion"/>
  <printOptions gridLines="1"/>
  <pageMargins left="0.75" right="0.75" top="1" bottom="1" header="0.5" footer="0.5"/>
  <pageSetup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23"/>
  <sheetViews>
    <sheetView topLeftCell="A5" workbookViewId="0">
      <selection activeCell="G22" sqref="G22"/>
    </sheetView>
  </sheetViews>
  <sheetFormatPr defaultColWidth="8.88671875" defaultRowHeight="13.2"/>
  <cols>
    <col min="1" max="1" width="58.6640625" customWidth="1"/>
    <col min="2" max="2" width="10" customWidth="1"/>
    <col min="3" max="3" width="10.33203125" customWidth="1"/>
    <col min="4" max="4" width="13.44140625" customWidth="1"/>
    <col min="5" max="5" width="10.10937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34.799999999999997">
      <c r="A1" s="420" t="s">
        <v>222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5"/>
      <c r="B2" s="6"/>
      <c r="D2" s="9" t="s">
        <v>34</v>
      </c>
      <c r="E2" s="62">
        <f>MAX(D6:D18)</f>
        <v>53.03</v>
      </c>
      <c r="F2" s="6" t="s">
        <v>16</v>
      </c>
      <c r="G2" s="6">
        <v>2.5</v>
      </c>
      <c r="H2" s="225" t="s">
        <v>182</v>
      </c>
      <c r="I2" s="9"/>
      <c r="J2" s="6"/>
      <c r="K2" s="6"/>
      <c r="L2" s="6"/>
    </row>
    <row r="3" spans="1:12">
      <c r="A3" s="186"/>
      <c r="B3" s="6"/>
      <c r="D3" s="9" t="s">
        <v>35</v>
      </c>
      <c r="E3" s="62">
        <f>MIN(D6:D18)</f>
        <v>40.74</v>
      </c>
      <c r="F3" s="6" t="s">
        <v>16</v>
      </c>
      <c r="G3" s="6">
        <v>50</v>
      </c>
      <c r="H3" s="225" t="s">
        <v>183</v>
      </c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 thickBot="1">
      <c r="A5" s="70"/>
      <c r="B5" s="36" t="s">
        <v>163</v>
      </c>
      <c r="C5" s="36" t="s">
        <v>164</v>
      </c>
      <c r="D5" s="36" t="s">
        <v>33</v>
      </c>
      <c r="E5" s="36" t="s">
        <v>9</v>
      </c>
      <c r="F5" s="23" t="s">
        <v>27</v>
      </c>
      <c r="G5" s="23"/>
      <c r="H5" s="371" t="s">
        <v>80</v>
      </c>
      <c r="I5" s="14"/>
      <c r="J5" s="13"/>
      <c r="K5" s="5"/>
      <c r="L5" s="6"/>
    </row>
    <row r="6" spans="1:12" ht="24" thickBot="1">
      <c r="A6" s="486" t="s">
        <v>169</v>
      </c>
      <c r="B6" s="513">
        <v>48.32</v>
      </c>
      <c r="C6" s="514">
        <f>47.47+1+5</f>
        <v>53.47</v>
      </c>
      <c r="D6" s="517">
        <f>MIN(B6:C6)</f>
        <v>48.32</v>
      </c>
      <c r="E6" s="53">
        <f>IF((D6=$E$2), 2.5,(-$E$22*D6+$E$23))</f>
        <v>19.161920260374302</v>
      </c>
      <c r="F6" s="124">
        <f>RANK(E6,$E$6:$E$18)</f>
        <v>7</v>
      </c>
      <c r="G6" s="48"/>
      <c r="H6" s="540" t="s">
        <v>250</v>
      </c>
      <c r="I6" s="26"/>
      <c r="J6" s="27"/>
      <c r="K6" s="18"/>
      <c r="L6" s="6"/>
    </row>
    <row r="7" spans="1:12" ht="24" thickBot="1">
      <c r="A7" s="486" t="s">
        <v>198</v>
      </c>
      <c r="B7" s="513">
        <v>43.03</v>
      </c>
      <c r="C7" s="514">
        <f>43.53+1</f>
        <v>44.53</v>
      </c>
      <c r="D7" s="517">
        <f>MIN(B7:C7)</f>
        <v>43.03</v>
      </c>
      <c r="E7" s="53">
        <f t="shared" ref="E7:E18" si="0">IF((D7=$E$2), 2.5,(-$E$22*D7+$E$23))</f>
        <v>40.683482506102536</v>
      </c>
      <c r="F7" s="124">
        <f t="shared" ref="F7:F18" si="1">RANK(E7,$E$6:$E$18)</f>
        <v>3</v>
      </c>
      <c r="G7" s="69"/>
      <c r="H7" s="540" t="s">
        <v>251</v>
      </c>
      <c r="I7" s="26" t="s">
        <v>248</v>
      </c>
      <c r="J7" s="27">
        <v>1</v>
      </c>
      <c r="K7" s="18"/>
      <c r="L7" s="6"/>
    </row>
    <row r="8" spans="1:12" ht="24" thickBot="1">
      <c r="A8" s="486" t="s">
        <v>199</v>
      </c>
      <c r="B8" s="513">
        <v>40.82</v>
      </c>
      <c r="C8" s="514">
        <v>40.74</v>
      </c>
      <c r="D8" s="517">
        <f t="shared" ref="D8:D18" si="2">MIN(B8:C8)</f>
        <v>40.74</v>
      </c>
      <c r="E8" s="53">
        <f t="shared" si="0"/>
        <v>50</v>
      </c>
      <c r="F8" s="124">
        <f t="shared" si="1"/>
        <v>1</v>
      </c>
      <c r="G8" s="48"/>
      <c r="H8" s="540"/>
      <c r="I8" s="26" t="s">
        <v>249</v>
      </c>
      <c r="J8" s="27">
        <v>5</v>
      </c>
      <c r="K8" s="18"/>
      <c r="L8" s="6"/>
    </row>
    <row r="9" spans="1:12" s="187" customFormat="1" ht="24" thickBot="1">
      <c r="A9" s="486" t="s">
        <v>200</v>
      </c>
      <c r="B9" s="513"/>
      <c r="C9" s="514"/>
      <c r="D9" s="517"/>
      <c r="E9" s="53" t="s">
        <v>44</v>
      </c>
      <c r="F9" s="393" t="s">
        <v>44</v>
      </c>
      <c r="G9" s="212"/>
      <c r="H9" s="540"/>
      <c r="I9" s="219"/>
      <c r="J9" s="185"/>
      <c r="K9" s="211"/>
      <c r="L9" s="190"/>
    </row>
    <row r="10" spans="1:12" s="187" customFormat="1" ht="24" thickBot="1">
      <c r="A10" s="486" t="s">
        <v>201</v>
      </c>
      <c r="B10" s="513">
        <v>45.22</v>
      </c>
      <c r="C10" s="514">
        <f>44.51+1+5</f>
        <v>50.51</v>
      </c>
      <c r="D10" s="517">
        <f t="shared" si="2"/>
        <v>45.22</v>
      </c>
      <c r="E10" s="53">
        <f t="shared" si="0"/>
        <v>31.773799837266068</v>
      </c>
      <c r="F10" s="124">
        <f t="shared" si="1"/>
        <v>4</v>
      </c>
      <c r="G10" s="212"/>
      <c r="H10" s="540" t="s">
        <v>250</v>
      </c>
      <c r="I10" s="219"/>
      <c r="J10" s="185"/>
      <c r="K10" s="211"/>
      <c r="L10" s="190"/>
    </row>
    <row r="11" spans="1:12" ht="24" thickBot="1">
      <c r="A11" s="486" t="s">
        <v>202</v>
      </c>
      <c r="B11" s="513"/>
      <c r="C11" s="514"/>
      <c r="D11" s="517"/>
      <c r="E11" s="53" t="s">
        <v>44</v>
      </c>
      <c r="F11" s="393" t="s">
        <v>44</v>
      </c>
      <c r="G11" s="48"/>
      <c r="H11" s="540"/>
      <c r="I11" s="26"/>
      <c r="J11" s="27"/>
      <c r="K11" s="18"/>
      <c r="L11" s="6"/>
    </row>
    <row r="12" spans="1:12" ht="24" thickBot="1">
      <c r="A12" s="486" t="s">
        <v>203</v>
      </c>
      <c r="B12" s="513">
        <v>45.53</v>
      </c>
      <c r="C12" s="514">
        <v>45.91</v>
      </c>
      <c r="D12" s="517">
        <f t="shared" si="2"/>
        <v>45.53</v>
      </c>
      <c r="E12" s="53">
        <f t="shared" si="0"/>
        <v>30.512611879576895</v>
      </c>
      <c r="F12" s="124">
        <f t="shared" si="1"/>
        <v>5</v>
      </c>
      <c r="G12" s="48"/>
      <c r="H12" s="540"/>
      <c r="I12" s="26"/>
      <c r="J12" s="27"/>
      <c r="K12" s="18"/>
      <c r="L12" s="6"/>
    </row>
    <row r="13" spans="1:12" ht="24" thickBot="1">
      <c r="A13" s="486" t="s">
        <v>208</v>
      </c>
      <c r="B13" s="513"/>
      <c r="C13" s="514"/>
      <c r="D13" s="517"/>
      <c r="E13" s="53" t="s">
        <v>44</v>
      </c>
      <c r="F13" s="393" t="s">
        <v>44</v>
      </c>
      <c r="G13" s="48"/>
      <c r="H13" s="540"/>
      <c r="I13" s="26"/>
      <c r="J13" s="27"/>
      <c r="K13" s="18"/>
      <c r="L13" s="6"/>
    </row>
    <row r="14" spans="1:12" ht="23.4" customHeight="1" thickBot="1">
      <c r="A14" s="486" t="s">
        <v>207</v>
      </c>
      <c r="B14" s="513">
        <v>146.34</v>
      </c>
      <c r="C14" s="514">
        <f>48.03+5</f>
        <v>53.03</v>
      </c>
      <c r="D14" s="517">
        <f t="shared" si="2"/>
        <v>53.03</v>
      </c>
      <c r="E14" s="53">
        <f t="shared" si="0"/>
        <v>2.5</v>
      </c>
      <c r="F14" s="124">
        <f t="shared" si="1"/>
        <v>9</v>
      </c>
      <c r="G14" s="48"/>
      <c r="H14" s="542" t="s">
        <v>252</v>
      </c>
      <c r="I14" s="26"/>
      <c r="J14" s="27"/>
      <c r="K14" s="18"/>
      <c r="L14" s="6"/>
    </row>
    <row r="15" spans="1:12" ht="24" thickBot="1">
      <c r="A15" s="486" t="s">
        <v>209</v>
      </c>
      <c r="B15" s="513"/>
      <c r="C15" s="514"/>
      <c r="D15" s="517"/>
      <c r="E15" s="53" t="s">
        <v>44</v>
      </c>
      <c r="F15" s="393" t="s">
        <v>44</v>
      </c>
      <c r="G15" s="48"/>
      <c r="H15" s="541"/>
      <c r="I15" s="26"/>
      <c r="J15" s="27"/>
      <c r="K15" s="18"/>
      <c r="L15" s="6"/>
    </row>
    <row r="16" spans="1:12" ht="24" thickBot="1">
      <c r="A16" s="486" t="s">
        <v>206</v>
      </c>
      <c r="B16" s="513">
        <v>44.09</v>
      </c>
      <c r="C16" s="514">
        <v>42.72</v>
      </c>
      <c r="D16" s="517">
        <f t="shared" si="2"/>
        <v>42.72</v>
      </c>
      <c r="E16" s="53">
        <f t="shared" si="0"/>
        <v>41.944670463791709</v>
      </c>
      <c r="F16" s="124">
        <f t="shared" si="1"/>
        <v>2</v>
      </c>
      <c r="G16" s="48"/>
      <c r="H16" s="541"/>
      <c r="I16" s="26"/>
      <c r="J16" s="27"/>
      <c r="K16" s="18"/>
      <c r="L16" s="6"/>
    </row>
    <row r="17" spans="1:12" s="131" customFormat="1" ht="24" thickBot="1">
      <c r="A17" s="486" t="s">
        <v>205</v>
      </c>
      <c r="B17" s="513">
        <f>50.65+5</f>
        <v>55.65</v>
      </c>
      <c r="C17" s="514">
        <v>49.09</v>
      </c>
      <c r="D17" s="517">
        <f t="shared" si="2"/>
        <v>49.09</v>
      </c>
      <c r="E17" s="53">
        <f t="shared" si="0"/>
        <v>16.029292107404387</v>
      </c>
      <c r="F17" s="124">
        <f t="shared" si="1"/>
        <v>8</v>
      </c>
      <c r="G17" s="135"/>
      <c r="H17" s="540" t="s">
        <v>253</v>
      </c>
      <c r="I17" s="142"/>
      <c r="J17" s="143"/>
      <c r="K17" s="132"/>
      <c r="L17" s="125"/>
    </row>
    <row r="18" spans="1:12" ht="24" thickBot="1">
      <c r="A18" s="486" t="s">
        <v>204</v>
      </c>
      <c r="B18" s="515">
        <v>48.1</v>
      </c>
      <c r="C18" s="516">
        <v>48.16</v>
      </c>
      <c r="D18" s="517">
        <f t="shared" si="2"/>
        <v>48.1</v>
      </c>
      <c r="E18" s="53">
        <f t="shared" si="0"/>
        <v>20.056956875508547</v>
      </c>
      <c r="F18" s="124">
        <f t="shared" si="1"/>
        <v>6</v>
      </c>
      <c r="G18" s="6"/>
      <c r="H18" s="540"/>
      <c r="I18" s="6"/>
      <c r="J18" s="6"/>
      <c r="K18" s="6"/>
      <c r="L18" s="6"/>
    </row>
    <row r="19" spans="1:12">
      <c r="B19" s="128"/>
    </row>
    <row r="21" spans="1:12">
      <c r="D21" s="283" t="s">
        <v>136</v>
      </c>
      <c r="E21" s="283"/>
    </row>
    <row r="22" spans="1:12">
      <c r="D22" s="283" t="s">
        <v>133</v>
      </c>
      <c r="E22" s="290">
        <f>50/(E2-E3)</f>
        <v>4.0683482506102528</v>
      </c>
    </row>
    <row r="23" spans="1:12">
      <c r="D23" s="283" t="s">
        <v>134</v>
      </c>
      <c r="E23" s="235">
        <f>E22*E2</f>
        <v>215.74450772986171</v>
      </c>
    </row>
  </sheetData>
  <phoneticPr fontId="24" type="noConversion"/>
  <printOptions gridLines="1"/>
  <pageMargins left="0.75" right="0.75" top="1" bottom="1" header="0.5" footer="0.5"/>
  <pageSetup scale="82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29"/>
  <sheetViews>
    <sheetView zoomScaleNormal="100" zoomScalePageLayoutView="12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" sqref="H6"/>
    </sheetView>
  </sheetViews>
  <sheetFormatPr defaultColWidth="8.88671875" defaultRowHeight="13.2"/>
  <cols>
    <col min="1" max="1" width="54.109375" customWidth="1"/>
    <col min="2" max="2" width="12.44140625" customWidth="1"/>
    <col min="3" max="3" width="12.6640625" style="3" customWidth="1"/>
    <col min="4" max="4" width="12.33203125" style="3" customWidth="1"/>
    <col min="5" max="5" width="14" style="3" customWidth="1"/>
    <col min="6" max="6" width="10.6640625" style="3" customWidth="1"/>
    <col min="7" max="7" width="9.88671875" style="3" customWidth="1"/>
    <col min="8" max="8" width="15.6640625" style="284" customWidth="1"/>
    <col min="9" max="9" width="13.44140625" style="3" customWidth="1"/>
    <col min="10" max="10" width="5.44140625" style="154" bestFit="1" customWidth="1"/>
    <col min="11" max="11" width="26.6640625" customWidth="1"/>
  </cols>
  <sheetData>
    <row r="1" spans="1:13" ht="17.399999999999999">
      <c r="A1" s="584" t="s">
        <v>223</v>
      </c>
      <c r="B1" s="584"/>
      <c r="C1" s="18"/>
      <c r="D1" s="18"/>
      <c r="E1" s="18"/>
      <c r="F1" s="18"/>
      <c r="G1" s="18"/>
      <c r="H1" s="240"/>
      <c r="I1" s="18"/>
      <c r="J1" s="225"/>
      <c r="K1" s="6"/>
    </row>
    <row r="2" spans="1:13">
      <c r="A2" s="24"/>
      <c r="B2" s="24"/>
      <c r="C2" s="48"/>
      <c r="D2" s="48"/>
      <c r="E2" s="48"/>
      <c r="F2" s="48"/>
      <c r="G2" s="48"/>
      <c r="H2" s="239"/>
      <c r="I2" s="48"/>
      <c r="J2" s="225"/>
      <c r="K2" s="6"/>
    </row>
    <row r="3" spans="1:13" s="145" customFormat="1" ht="39.6">
      <c r="A3" s="384"/>
      <c r="B3" s="36" t="s">
        <v>39</v>
      </c>
      <c r="C3" s="36" t="s">
        <v>7</v>
      </c>
      <c r="D3" s="36" t="s">
        <v>59</v>
      </c>
      <c r="E3" s="36" t="s">
        <v>51</v>
      </c>
      <c r="F3" s="36" t="s">
        <v>81</v>
      </c>
      <c r="G3" s="36" t="s">
        <v>8</v>
      </c>
      <c r="H3" s="207" t="s">
        <v>60</v>
      </c>
      <c r="I3" s="36" t="s">
        <v>61</v>
      </c>
      <c r="J3" s="33" t="s">
        <v>58</v>
      </c>
      <c r="K3" s="36" t="s">
        <v>48</v>
      </c>
    </row>
    <row r="4" spans="1:13" s="332" customFormat="1" ht="23.4">
      <c r="A4" s="425" t="s">
        <v>169</v>
      </c>
      <c r="B4" s="433"/>
      <c r="C4" s="434"/>
      <c r="D4" s="434"/>
      <c r="E4" s="433"/>
      <c r="F4" s="433"/>
      <c r="G4" s="543"/>
      <c r="H4" s="543">
        <v>100</v>
      </c>
      <c r="I4" s="433"/>
      <c r="J4" s="329">
        <f t="shared" ref="J4:J16" si="0">SUM(B4:I4)</f>
        <v>100</v>
      </c>
      <c r="K4" s="330"/>
    </row>
    <row r="5" spans="1:13" s="332" customFormat="1" ht="23.4">
      <c r="A5" s="426" t="s">
        <v>198</v>
      </c>
      <c r="B5" s="433"/>
      <c r="C5" s="434"/>
      <c r="D5" s="434"/>
      <c r="E5" s="433"/>
      <c r="F5" s="433"/>
      <c r="G5" s="433"/>
      <c r="H5" s="433"/>
      <c r="I5" s="433"/>
      <c r="J5" s="329">
        <f t="shared" si="0"/>
        <v>0</v>
      </c>
      <c r="K5" s="330"/>
    </row>
    <row r="6" spans="1:13" s="332" customFormat="1" ht="23.4">
      <c r="A6" s="426" t="s">
        <v>199</v>
      </c>
      <c r="B6" s="433"/>
      <c r="C6" s="434"/>
      <c r="D6" s="434"/>
      <c r="E6" s="433"/>
      <c r="F6" s="543"/>
      <c r="G6" s="543">
        <v>-5</v>
      </c>
      <c r="H6" s="543">
        <v>100</v>
      </c>
      <c r="I6" s="433"/>
      <c r="J6" s="329">
        <f t="shared" si="0"/>
        <v>95</v>
      </c>
      <c r="K6" s="330" t="s">
        <v>246</v>
      </c>
    </row>
    <row r="7" spans="1:13" s="331" customFormat="1" ht="23.4">
      <c r="A7" s="426" t="s">
        <v>200</v>
      </c>
      <c r="B7" s="433"/>
      <c r="C7" s="434"/>
      <c r="D7" s="434"/>
      <c r="E7" s="433"/>
      <c r="F7" s="433"/>
      <c r="G7" s="433"/>
      <c r="H7" s="433"/>
      <c r="I7" s="433"/>
      <c r="J7" s="329">
        <f t="shared" si="0"/>
        <v>0</v>
      </c>
      <c r="K7" s="421"/>
    </row>
    <row r="8" spans="1:13" s="331" customFormat="1" ht="23.4">
      <c r="A8" s="426" t="s">
        <v>201</v>
      </c>
      <c r="B8" s="433"/>
      <c r="C8" s="434"/>
      <c r="D8" s="434"/>
      <c r="E8" s="433"/>
      <c r="F8" s="433"/>
      <c r="G8" s="433"/>
      <c r="H8" s="433"/>
      <c r="I8" s="433"/>
      <c r="J8" s="329">
        <f t="shared" si="0"/>
        <v>0</v>
      </c>
      <c r="K8" s="330"/>
      <c r="M8" s="332"/>
    </row>
    <row r="9" spans="1:13" s="332" customFormat="1" ht="23.4">
      <c r="A9" s="426" t="s">
        <v>202</v>
      </c>
      <c r="B9" s="433"/>
      <c r="C9" s="434"/>
      <c r="D9" s="434"/>
      <c r="E9" s="433"/>
      <c r="F9" s="433"/>
      <c r="G9" s="433"/>
      <c r="H9" s="433"/>
      <c r="I9" s="433"/>
      <c r="J9" s="329">
        <f t="shared" si="0"/>
        <v>0</v>
      </c>
      <c r="K9" s="330"/>
    </row>
    <row r="10" spans="1:13" s="332" customFormat="1" ht="23.4">
      <c r="A10" s="426" t="s">
        <v>203</v>
      </c>
      <c r="B10" s="433"/>
      <c r="C10" s="433"/>
      <c r="D10" s="434"/>
      <c r="E10" s="433"/>
      <c r="F10" s="543"/>
      <c r="G10" s="543">
        <v>-5</v>
      </c>
      <c r="H10" s="543">
        <v>100</v>
      </c>
      <c r="I10" s="433"/>
      <c r="J10" s="329">
        <f t="shared" si="0"/>
        <v>95</v>
      </c>
      <c r="K10" s="330" t="s">
        <v>247</v>
      </c>
    </row>
    <row r="11" spans="1:13" s="332" customFormat="1" ht="23.4">
      <c r="A11" s="426" t="s">
        <v>208</v>
      </c>
      <c r="B11" s="433"/>
      <c r="C11" s="434"/>
      <c r="D11" s="434"/>
      <c r="E11" s="433"/>
      <c r="F11" s="433"/>
      <c r="G11" s="433"/>
      <c r="H11" s="433"/>
      <c r="I11" s="433"/>
      <c r="J11" s="329">
        <f t="shared" si="0"/>
        <v>0</v>
      </c>
      <c r="K11" s="330"/>
    </row>
    <row r="12" spans="1:13" s="332" customFormat="1" ht="23.4">
      <c r="A12" s="426" t="s">
        <v>207</v>
      </c>
      <c r="B12" s="433"/>
      <c r="C12" s="434"/>
      <c r="D12" s="434"/>
      <c r="E12" s="433"/>
      <c r="F12" s="433"/>
      <c r="G12" s="433"/>
      <c r="H12" s="433"/>
      <c r="I12" s="433"/>
      <c r="J12" s="329">
        <f t="shared" si="0"/>
        <v>0</v>
      </c>
      <c r="K12" s="330"/>
    </row>
    <row r="13" spans="1:13" s="332" customFormat="1" ht="23.4">
      <c r="A13" s="426" t="s">
        <v>209</v>
      </c>
      <c r="B13" s="433"/>
      <c r="C13" s="434"/>
      <c r="D13" s="434"/>
      <c r="E13" s="433"/>
      <c r="F13" s="433"/>
      <c r="G13" s="433"/>
      <c r="H13" s="433"/>
      <c r="I13" s="433"/>
      <c r="J13" s="329">
        <f t="shared" si="0"/>
        <v>0</v>
      </c>
      <c r="K13" s="330"/>
    </row>
    <row r="14" spans="1:13" s="332" customFormat="1" ht="23.4">
      <c r="A14" s="426" t="s">
        <v>206</v>
      </c>
      <c r="B14" s="433"/>
      <c r="C14" s="433"/>
      <c r="D14" s="434"/>
      <c r="E14" s="433"/>
      <c r="F14" s="543"/>
      <c r="G14" s="543">
        <v>-5</v>
      </c>
      <c r="H14" s="433"/>
      <c r="I14" s="433"/>
      <c r="J14" s="329">
        <f t="shared" si="0"/>
        <v>-5</v>
      </c>
      <c r="K14" s="352" t="s">
        <v>247</v>
      </c>
    </row>
    <row r="15" spans="1:13" s="333" customFormat="1" ht="23.4">
      <c r="A15" s="426" t="s">
        <v>205</v>
      </c>
      <c r="B15" s="433"/>
      <c r="C15" s="433"/>
      <c r="D15" s="433"/>
      <c r="E15" s="433"/>
      <c r="F15" s="433"/>
      <c r="G15" s="433"/>
      <c r="H15" s="433"/>
      <c r="I15" s="433"/>
      <c r="J15" s="329">
        <f t="shared" si="0"/>
        <v>0</v>
      </c>
      <c r="K15" s="330"/>
    </row>
    <row r="16" spans="1:13" s="332" customFormat="1" ht="23.4">
      <c r="A16" s="426" t="s">
        <v>204</v>
      </c>
      <c r="B16" s="433"/>
      <c r="C16" s="435"/>
      <c r="D16" s="434"/>
      <c r="E16" s="433"/>
      <c r="F16" s="433"/>
      <c r="G16" s="433"/>
      <c r="H16" s="433"/>
      <c r="I16" s="433"/>
      <c r="J16" s="329">
        <f t="shared" si="0"/>
        <v>0</v>
      </c>
      <c r="K16" s="334"/>
    </row>
    <row r="17" spans="1:11" ht="15">
      <c r="A17" s="22"/>
      <c r="B17" s="22"/>
      <c r="C17" s="262"/>
      <c r="D17" s="262"/>
      <c r="E17" s="262"/>
      <c r="F17" s="37"/>
      <c r="G17" s="48"/>
      <c r="H17" s="239"/>
      <c r="I17" s="383"/>
      <c r="J17" s="225"/>
      <c r="K17" s="6"/>
    </row>
    <row r="18" spans="1:11" ht="15">
      <c r="A18" s="22"/>
      <c r="B18" s="22"/>
      <c r="C18" s="262"/>
      <c r="D18" s="262" t="s">
        <v>240</v>
      </c>
      <c r="E18" s="585" t="s">
        <v>241</v>
      </c>
      <c r="F18" s="585"/>
      <c r="G18" s="485">
        <v>-20</v>
      </c>
      <c r="H18" s="239"/>
      <c r="I18" s="383"/>
      <c r="J18" s="225"/>
      <c r="K18" s="6"/>
    </row>
    <row r="19" spans="1:11" ht="15">
      <c r="A19" s="22"/>
      <c r="B19" s="22"/>
      <c r="C19" s="262"/>
      <c r="D19" s="262" t="s">
        <v>62</v>
      </c>
      <c r="E19" s="585" t="s">
        <v>242</v>
      </c>
      <c r="F19" s="585"/>
      <c r="G19" s="267">
        <v>20</v>
      </c>
      <c r="H19" s="239"/>
      <c r="I19" s="383"/>
      <c r="J19" s="225"/>
      <c r="K19" s="6"/>
    </row>
    <row r="20" spans="1:11" ht="15">
      <c r="A20" s="22"/>
      <c r="B20" s="22"/>
      <c r="C20" s="262"/>
      <c r="D20" s="262"/>
      <c r="E20" s="483"/>
      <c r="F20" s="484"/>
      <c r="G20" s="48"/>
      <c r="H20" s="239"/>
      <c r="I20" s="383"/>
      <c r="J20" s="225"/>
      <c r="K20" s="6"/>
    </row>
    <row r="21" spans="1:11" ht="15">
      <c r="A21" s="22"/>
      <c r="B21" s="22"/>
      <c r="C21" s="262"/>
      <c r="D21" s="262"/>
      <c r="E21" s="262"/>
      <c r="F21" s="37"/>
      <c r="G21" s="48"/>
      <c r="H21" s="239"/>
      <c r="I21" s="383"/>
      <c r="J21" s="225"/>
      <c r="K21" s="6"/>
    </row>
    <row r="22" spans="1:11" ht="15">
      <c r="A22" s="22"/>
      <c r="B22" s="22"/>
      <c r="C22" s="262"/>
      <c r="D22" s="262"/>
      <c r="E22" s="262"/>
      <c r="F22" s="37"/>
      <c r="G22" s="48"/>
      <c r="H22" s="239"/>
      <c r="I22" s="383"/>
      <c r="J22" s="225"/>
      <c r="K22" s="6"/>
    </row>
    <row r="23" spans="1:11" ht="15">
      <c r="A23" s="22"/>
      <c r="B23" s="22"/>
      <c r="C23" s="262"/>
      <c r="D23" s="262"/>
      <c r="E23" s="262"/>
      <c r="F23" s="37"/>
      <c r="G23" s="48"/>
      <c r="H23" s="239"/>
      <c r="I23" s="383"/>
      <c r="J23" s="225"/>
      <c r="K23" s="6"/>
    </row>
    <row r="24" spans="1:11">
      <c r="A24" s="22"/>
      <c r="B24" s="22"/>
      <c r="C24" s="262"/>
      <c r="D24" s="262"/>
      <c r="E24" s="262"/>
      <c r="F24" s="37"/>
      <c r="G24" s="48"/>
      <c r="H24" s="239"/>
      <c r="I24" s="48"/>
      <c r="J24" s="225"/>
      <c r="K24" s="6"/>
    </row>
    <row r="25" spans="1:11" ht="15">
      <c r="A25" s="22"/>
      <c r="B25" s="22"/>
      <c r="C25" s="262"/>
      <c r="D25" s="262"/>
      <c r="E25" s="262"/>
      <c r="F25" s="37"/>
      <c r="G25" s="48"/>
      <c r="H25" s="239"/>
      <c r="I25" s="383"/>
      <c r="J25" s="225"/>
      <c r="K25" s="6"/>
    </row>
    <row r="26" spans="1:11">
      <c r="A26" s="22"/>
      <c r="B26" s="22"/>
      <c r="C26" s="263"/>
      <c r="D26" s="263"/>
      <c r="E26" s="263"/>
      <c r="F26" s="37"/>
      <c r="G26" s="48"/>
      <c r="H26" s="239"/>
      <c r="I26" s="56"/>
    </row>
    <row r="27" spans="1:11">
      <c r="A27" s="1"/>
      <c r="B27" s="1"/>
      <c r="C27" s="56"/>
      <c r="D27" s="56"/>
      <c r="E27" s="56"/>
      <c r="F27" s="48"/>
      <c r="G27" s="56"/>
      <c r="H27" s="310"/>
      <c r="I27" s="56"/>
    </row>
    <row r="28" spans="1:11">
      <c r="A28" s="1"/>
      <c r="B28" s="1"/>
      <c r="C28" s="56"/>
      <c r="D28" s="56"/>
      <c r="E28" s="56"/>
      <c r="F28" s="56"/>
      <c r="G28" s="56"/>
      <c r="H28" s="310"/>
      <c r="I28" s="56"/>
    </row>
    <row r="29" spans="1:11">
      <c r="A29" s="1"/>
      <c r="B29" s="1"/>
      <c r="C29" s="56"/>
      <c r="D29" s="56"/>
      <c r="E29" s="56"/>
      <c r="F29" s="56"/>
      <c r="G29" s="56"/>
      <c r="H29" s="310"/>
      <c r="I29" s="56"/>
    </row>
  </sheetData>
  <mergeCells count="3">
    <mergeCell ref="A1:B1"/>
    <mergeCell ref="E18:F18"/>
    <mergeCell ref="E19:F19"/>
  </mergeCells>
  <phoneticPr fontId="24" type="noConversion"/>
  <printOptions gridLines="1"/>
  <pageMargins left="0.75" right="0.75" top="1" bottom="1" header="0.5" footer="0.5"/>
  <pageSetup scale="65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A4" sqref="A4"/>
    </sheetView>
  </sheetViews>
  <sheetFormatPr defaultColWidth="8.88671875" defaultRowHeight="13.2"/>
  <cols>
    <col min="1" max="1" width="54.6640625" customWidth="1"/>
    <col min="2" max="5" width="10.33203125" customWidth="1"/>
    <col min="7" max="7" width="10.44140625" customWidth="1"/>
    <col min="9" max="9" width="10.109375" customWidth="1"/>
  </cols>
  <sheetData>
    <row r="1" spans="1:21" ht="17.399999999999999">
      <c r="A1" s="42" t="s">
        <v>224</v>
      </c>
      <c r="B1" s="30"/>
      <c r="C1" s="30"/>
      <c r="D1" s="30"/>
      <c r="E1" s="30" t="s">
        <v>56</v>
      </c>
      <c r="F1" s="31">
        <f>MAX(E4:E16)</f>
        <v>686</v>
      </c>
      <c r="G1" s="30" t="s">
        <v>57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187" t="s">
        <v>117</v>
      </c>
      <c r="B2" s="30"/>
      <c r="C2" s="30"/>
      <c r="D2" s="30"/>
      <c r="E2" s="30" t="s">
        <v>55</v>
      </c>
      <c r="F2" s="31">
        <f>MIN(E4:E115)</f>
        <v>547</v>
      </c>
      <c r="G2" s="30" t="s">
        <v>57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B3" s="120" t="s">
        <v>52</v>
      </c>
      <c r="C3" s="120" t="s">
        <v>53</v>
      </c>
      <c r="D3" s="120" t="s">
        <v>54</v>
      </c>
      <c r="E3" s="41" t="s">
        <v>24</v>
      </c>
      <c r="G3" s="36"/>
      <c r="H3" s="2" t="s">
        <v>27</v>
      </c>
    </row>
    <row r="4" spans="1:21" ht="23.4">
      <c r="A4" s="426" t="s">
        <v>169</v>
      </c>
      <c r="B4" s="444">
        <v>142</v>
      </c>
      <c r="C4" s="445">
        <v>151</v>
      </c>
      <c r="D4" s="445">
        <v>254</v>
      </c>
      <c r="E4" s="448">
        <f>+B4+C4+D4</f>
        <v>547</v>
      </c>
      <c r="F4" s="134"/>
      <c r="G4" s="17"/>
      <c r="H4" s="17">
        <f t="shared" ref="H4:H16" si="0">RANK($E4,$E$4:$E$16)</f>
        <v>10</v>
      </c>
    </row>
    <row r="5" spans="1:21" ht="23.4">
      <c r="A5" s="426" t="s">
        <v>225</v>
      </c>
      <c r="B5" s="446">
        <v>169</v>
      </c>
      <c r="C5" s="447">
        <v>186</v>
      </c>
      <c r="D5" s="447">
        <v>239</v>
      </c>
      <c r="E5" s="448">
        <f t="shared" ref="E5:E16" si="1">+B5+C5+D5</f>
        <v>594</v>
      </c>
      <c r="F5" s="422"/>
      <c r="G5" s="17"/>
      <c r="H5" s="17">
        <f t="shared" si="0"/>
        <v>7</v>
      </c>
      <c r="I5" s="349"/>
    </row>
    <row r="6" spans="1:21" ht="23.4">
      <c r="A6" s="426" t="s">
        <v>228</v>
      </c>
      <c r="B6" s="446">
        <v>191</v>
      </c>
      <c r="C6" s="447">
        <v>184</v>
      </c>
      <c r="D6" s="447">
        <v>249</v>
      </c>
      <c r="E6" s="448">
        <f t="shared" si="1"/>
        <v>624</v>
      </c>
      <c r="F6" s="134"/>
      <c r="G6" s="17"/>
      <c r="H6" s="17">
        <f t="shared" si="0"/>
        <v>4</v>
      </c>
    </row>
    <row r="7" spans="1:21" s="210" customFormat="1" ht="23.4">
      <c r="A7" s="426" t="s">
        <v>227</v>
      </c>
      <c r="B7" s="446"/>
      <c r="C7" s="447"/>
      <c r="D7" s="447"/>
      <c r="E7" s="448"/>
      <c r="F7" s="449" t="s">
        <v>230</v>
      </c>
      <c r="G7" s="206"/>
      <c r="H7" s="17"/>
      <c r="I7" s="349"/>
    </row>
    <row r="8" spans="1:21" s="210" customFormat="1" ht="23.4">
      <c r="A8" s="426" t="s">
        <v>201</v>
      </c>
      <c r="B8" s="446">
        <v>163</v>
      </c>
      <c r="C8" s="447">
        <v>154</v>
      </c>
      <c r="D8" s="447">
        <v>333</v>
      </c>
      <c r="E8" s="448">
        <f t="shared" si="1"/>
        <v>650</v>
      </c>
      <c r="F8" s="187"/>
      <c r="G8" s="206"/>
      <c r="H8" s="17">
        <f t="shared" si="0"/>
        <v>3</v>
      </c>
    </row>
    <row r="9" spans="1:21" s="30" customFormat="1" ht="23.4">
      <c r="A9" s="426" t="s">
        <v>202</v>
      </c>
      <c r="B9" s="446">
        <v>152</v>
      </c>
      <c r="C9" s="447">
        <v>162</v>
      </c>
      <c r="D9" s="447">
        <v>257</v>
      </c>
      <c r="E9" s="448">
        <f t="shared" si="1"/>
        <v>571</v>
      </c>
      <c r="F9" s="169" t="s">
        <v>44</v>
      </c>
      <c r="G9" s="17"/>
      <c r="H9" s="17">
        <f t="shared" si="0"/>
        <v>9</v>
      </c>
    </row>
    <row r="10" spans="1:21" ht="23.4">
      <c r="A10" s="426" t="s">
        <v>203</v>
      </c>
      <c r="B10" s="446">
        <v>177</v>
      </c>
      <c r="C10" s="447">
        <v>158</v>
      </c>
      <c r="D10" s="447">
        <v>259</v>
      </c>
      <c r="E10" s="448">
        <f t="shared" si="1"/>
        <v>594</v>
      </c>
      <c r="F10" s="134"/>
      <c r="G10" s="17"/>
      <c r="H10" s="17">
        <f t="shared" si="0"/>
        <v>7</v>
      </c>
    </row>
    <row r="11" spans="1:21" ht="23.4">
      <c r="A11" s="426" t="s">
        <v>208</v>
      </c>
      <c r="B11" s="446">
        <v>148</v>
      </c>
      <c r="C11" s="447">
        <v>148</v>
      </c>
      <c r="D11" s="447">
        <v>313</v>
      </c>
      <c r="E11" s="448">
        <f t="shared" si="1"/>
        <v>609</v>
      </c>
      <c r="F11" s="134"/>
      <c r="G11" s="17"/>
      <c r="H11" s="17">
        <f t="shared" si="0"/>
        <v>6</v>
      </c>
    </row>
    <row r="12" spans="1:21" ht="23.4">
      <c r="A12" s="426" t="s">
        <v>207</v>
      </c>
      <c r="B12" s="446"/>
      <c r="C12" s="447"/>
      <c r="D12" s="447"/>
      <c r="E12" s="448"/>
      <c r="F12" s="449" t="s">
        <v>230</v>
      </c>
      <c r="G12" s="17"/>
      <c r="H12" s="17"/>
    </row>
    <row r="13" spans="1:21" ht="23.4">
      <c r="A13" s="426" t="s">
        <v>209</v>
      </c>
      <c r="B13" s="446"/>
      <c r="C13" s="447"/>
      <c r="D13" s="447"/>
      <c r="E13" s="448"/>
      <c r="F13" s="449" t="s">
        <v>230</v>
      </c>
      <c r="G13" s="17"/>
      <c r="H13" s="17"/>
    </row>
    <row r="14" spans="1:21" ht="23.4">
      <c r="A14" s="426" t="s">
        <v>206</v>
      </c>
      <c r="B14" s="446">
        <v>194</v>
      </c>
      <c r="C14" s="447">
        <v>175</v>
      </c>
      <c r="D14" s="447">
        <v>290</v>
      </c>
      <c r="E14" s="448">
        <f t="shared" si="1"/>
        <v>659</v>
      </c>
      <c r="F14" s="134"/>
      <c r="G14" s="17"/>
      <c r="H14" s="17">
        <f t="shared" si="0"/>
        <v>2</v>
      </c>
    </row>
    <row r="15" spans="1:21" ht="23.4">
      <c r="A15" s="426" t="s">
        <v>205</v>
      </c>
      <c r="B15" s="446">
        <v>168</v>
      </c>
      <c r="C15" s="447">
        <v>159</v>
      </c>
      <c r="D15" s="447">
        <v>292</v>
      </c>
      <c r="E15" s="448">
        <f t="shared" si="1"/>
        <v>619</v>
      </c>
      <c r="F15" s="134"/>
      <c r="G15" s="17"/>
      <c r="H15" s="17">
        <f t="shared" si="0"/>
        <v>5</v>
      </c>
    </row>
    <row r="16" spans="1:21" ht="23.4">
      <c r="A16" s="426" t="s">
        <v>204</v>
      </c>
      <c r="B16" s="446">
        <v>167</v>
      </c>
      <c r="C16" s="447">
        <v>179</v>
      </c>
      <c r="D16" s="447">
        <v>340</v>
      </c>
      <c r="E16" s="448">
        <f t="shared" si="1"/>
        <v>686</v>
      </c>
      <c r="F16" s="134"/>
      <c r="G16" s="17"/>
      <c r="H16" s="17">
        <f t="shared" si="0"/>
        <v>1</v>
      </c>
    </row>
    <row r="17" spans="5:5">
      <c r="E17" s="57"/>
    </row>
    <row r="18" spans="5:5">
      <c r="E18" s="57"/>
    </row>
    <row r="19" spans="5:5">
      <c r="E19" s="57"/>
    </row>
    <row r="20" spans="5:5">
      <c r="E20" s="57"/>
    </row>
    <row r="21" spans="5:5">
      <c r="E21" s="57"/>
    </row>
    <row r="22" spans="5:5">
      <c r="E22" s="57"/>
    </row>
    <row r="23" spans="5:5">
      <c r="E23" s="57"/>
    </row>
    <row r="24" spans="5:5">
      <c r="E24" s="57"/>
    </row>
    <row r="25" spans="5:5">
      <c r="E25" s="57"/>
    </row>
    <row r="26" spans="5:5">
      <c r="E26" s="57"/>
    </row>
    <row r="27" spans="5:5">
      <c r="E27" s="57"/>
    </row>
  </sheetData>
  <phoneticPr fontId="24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58"/>
  <sheetViews>
    <sheetView zoomScale="110" zoomScaleNormal="110" zoomScalePage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8" sqref="C58"/>
    </sheetView>
  </sheetViews>
  <sheetFormatPr defaultColWidth="10.6640625" defaultRowHeight="13.2"/>
  <cols>
    <col min="1" max="1" width="12.33203125" style="150" bestFit="1" customWidth="1"/>
    <col min="2" max="2" width="16.33203125" style="60" customWidth="1"/>
    <col min="3" max="5" width="10.6640625" style="150" customWidth="1"/>
    <col min="6" max="6" width="10.6640625" style="238" customWidth="1"/>
    <col min="7" max="7" width="10.6640625" style="151" customWidth="1"/>
    <col min="8" max="8" width="10.6640625" style="209" customWidth="1"/>
    <col min="9" max="10" width="10.6640625" style="150" customWidth="1"/>
    <col min="11" max="11" width="10.6640625" style="170" customWidth="1"/>
    <col min="12" max="12" width="10.6640625" style="150" customWidth="1"/>
    <col min="13" max="14" width="10.6640625" style="167" customWidth="1"/>
    <col min="15" max="15" width="10.6640625" style="381" customWidth="1"/>
    <col min="16" max="16" width="10.6640625" style="150"/>
    <col min="17" max="17" width="10.6640625" style="166"/>
    <col min="18" max="16384" width="10.6640625" style="60"/>
  </cols>
  <sheetData>
    <row r="1" spans="1:19" s="373" customFormat="1" ht="17.399999999999999">
      <c r="A1" s="296" t="s">
        <v>211</v>
      </c>
      <c r="C1" s="150"/>
      <c r="D1" s="150"/>
      <c r="E1" s="150"/>
      <c r="F1" s="238"/>
      <c r="G1" s="151"/>
      <c r="H1" s="209"/>
      <c r="I1" s="150"/>
      <c r="J1" s="150"/>
      <c r="K1" s="170"/>
      <c r="L1" s="150"/>
      <c r="M1" s="167"/>
      <c r="N1" s="167"/>
      <c r="O1" s="381"/>
      <c r="P1" s="150"/>
    </row>
    <row r="2" spans="1:19" ht="36">
      <c r="A2" s="374" t="s">
        <v>166</v>
      </c>
      <c r="B2" s="374"/>
      <c r="C2" s="427" t="s">
        <v>169</v>
      </c>
      <c r="D2" s="427" t="s">
        <v>225</v>
      </c>
      <c r="E2" s="427" t="s">
        <v>226</v>
      </c>
      <c r="F2" s="427" t="s">
        <v>227</v>
      </c>
      <c r="G2" s="427" t="s">
        <v>201</v>
      </c>
      <c r="H2" s="427" t="s">
        <v>202</v>
      </c>
      <c r="I2" s="427" t="s">
        <v>203</v>
      </c>
      <c r="J2" s="427" t="s">
        <v>208</v>
      </c>
      <c r="K2" s="427" t="s">
        <v>207</v>
      </c>
      <c r="L2" s="427" t="s">
        <v>209</v>
      </c>
      <c r="M2" s="427" t="s">
        <v>206</v>
      </c>
      <c r="N2" s="427" t="s">
        <v>205</v>
      </c>
      <c r="O2" s="427" t="s">
        <v>204</v>
      </c>
      <c r="P2" s="284"/>
      <c r="Q2" s="221"/>
      <c r="R2" s="154"/>
      <c r="S2" s="154"/>
    </row>
    <row r="3" spans="1:19" s="303" customFormat="1">
      <c r="A3" s="372">
        <v>1</v>
      </c>
      <c r="B3" s="436"/>
      <c r="C3" s="437">
        <f>9+20+14+5+9+9+9+5</f>
        <v>80</v>
      </c>
      <c r="D3" s="437">
        <f>6+20+7+10+4+6+9+3</f>
        <v>65</v>
      </c>
      <c r="E3" s="437">
        <f>7+20+8+8+5+6+8+3</f>
        <v>65</v>
      </c>
      <c r="F3" s="437">
        <f>7+15+10+8+5+7+9+2</f>
        <v>63</v>
      </c>
      <c r="G3" s="437">
        <f>9+22+14+14+9+9+7+4</f>
        <v>88</v>
      </c>
      <c r="H3" s="437">
        <f>8+20+13+12+8+8+8+3</f>
        <v>80</v>
      </c>
      <c r="I3" s="437">
        <f>9+20+12+14+9+9+5+4</f>
        <v>82</v>
      </c>
      <c r="J3" s="437"/>
      <c r="K3" s="437">
        <f>5+15+10+2+2+6+7+2</f>
        <v>49</v>
      </c>
      <c r="L3" s="437">
        <f>7+15+7+13+9+7+8+2</f>
        <v>68</v>
      </c>
      <c r="M3" s="437">
        <f>5+15+5+0+2+2+7+1</f>
        <v>37</v>
      </c>
      <c r="N3" s="437">
        <f>5+10+2+2+5+8+5+2</f>
        <v>39</v>
      </c>
      <c r="O3" s="438">
        <f>9+22+14+14+8+8+9+3</f>
        <v>87</v>
      </c>
      <c r="P3" s="372">
        <f t="shared" ref="P3:P33" si="0">COUNTA(C3:O3)</f>
        <v>12</v>
      </c>
      <c r="Q3" s="302"/>
    </row>
    <row r="4" spans="1:19">
      <c r="A4" s="372">
        <f>A3+1</f>
        <v>2</v>
      </c>
      <c r="B4" s="304"/>
      <c r="C4" s="439"/>
      <c r="D4" s="439"/>
      <c r="E4" s="439">
        <f>10+18+10+15+10+10+10+5</f>
        <v>88</v>
      </c>
      <c r="F4" s="439">
        <f>10+25+15+15+10+9+10+5</f>
        <v>99</v>
      </c>
      <c r="G4" s="439">
        <f>10+25+15+15+10+10+10+5</f>
        <v>100</v>
      </c>
      <c r="H4" s="439"/>
      <c r="I4" s="439"/>
      <c r="J4" s="439">
        <f>8+20+10+15+10+10+10+5</f>
        <v>88</v>
      </c>
      <c r="K4" s="439"/>
      <c r="L4" s="439"/>
      <c r="M4" s="439"/>
      <c r="N4" s="439"/>
      <c r="O4" s="440"/>
      <c r="P4" s="372">
        <f t="shared" si="0"/>
        <v>4</v>
      </c>
      <c r="Q4" s="221"/>
      <c r="R4" s="154"/>
      <c r="S4" s="154"/>
    </row>
    <row r="5" spans="1:19">
      <c r="A5" s="372">
        <f t="shared" ref="A5:A50" si="1">A4+1</f>
        <v>3</v>
      </c>
      <c r="B5" s="304"/>
      <c r="C5" s="439">
        <v>93</v>
      </c>
      <c r="D5" s="439">
        <v>61</v>
      </c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40"/>
      <c r="P5" s="372">
        <f t="shared" si="0"/>
        <v>2</v>
      </c>
    </row>
    <row r="6" spans="1:19">
      <c r="A6" s="372">
        <f t="shared" si="1"/>
        <v>4</v>
      </c>
      <c r="B6" s="304"/>
      <c r="C6" s="439">
        <v>78</v>
      </c>
      <c r="D6" s="439">
        <v>35</v>
      </c>
      <c r="E6" s="439">
        <v>71</v>
      </c>
      <c r="F6" s="439">
        <v>49</v>
      </c>
      <c r="G6" s="439">
        <v>93</v>
      </c>
      <c r="H6" s="439">
        <v>60</v>
      </c>
      <c r="I6" s="439">
        <v>98</v>
      </c>
      <c r="J6" s="439">
        <v>32</v>
      </c>
      <c r="K6" s="439">
        <v>55</v>
      </c>
      <c r="L6" s="439">
        <v>53</v>
      </c>
      <c r="M6" s="439">
        <v>37</v>
      </c>
      <c r="N6" s="439">
        <v>28</v>
      </c>
      <c r="O6" s="440">
        <v>94</v>
      </c>
      <c r="P6" s="372">
        <f t="shared" si="0"/>
        <v>13</v>
      </c>
      <c r="Q6" s="284"/>
      <c r="R6" s="283"/>
      <c r="S6" s="283"/>
    </row>
    <row r="7" spans="1:19">
      <c r="A7" s="372">
        <f t="shared" si="1"/>
        <v>5</v>
      </c>
      <c r="B7" s="304"/>
      <c r="C7" s="439"/>
      <c r="D7" s="439"/>
      <c r="E7" s="439"/>
      <c r="F7" s="439"/>
      <c r="G7" s="441"/>
      <c r="H7" s="439"/>
      <c r="I7" s="439">
        <f>8+20+12+12+9+9+9+5</f>
        <v>84</v>
      </c>
      <c r="J7" s="439">
        <f>9+20+12+13+9+10+9+4</f>
        <v>86</v>
      </c>
      <c r="K7" s="439">
        <f>8+23+12+11+9+8+9+4</f>
        <v>84</v>
      </c>
      <c r="L7" s="439">
        <f>8+20+12+11+7+7+7+4</f>
        <v>76</v>
      </c>
      <c r="M7" s="439"/>
      <c r="N7" s="439"/>
      <c r="O7" s="440"/>
      <c r="P7" s="372">
        <f t="shared" si="0"/>
        <v>4</v>
      </c>
      <c r="Q7" s="221"/>
      <c r="R7" s="154"/>
      <c r="S7" s="187"/>
    </row>
    <row r="8" spans="1:19" s="154" customFormat="1">
      <c r="A8" s="372">
        <f t="shared" si="1"/>
        <v>6</v>
      </c>
      <c r="B8" s="304"/>
      <c r="C8" s="439"/>
      <c r="D8" s="439"/>
      <c r="E8" s="439">
        <f>8+23+12+11+9+9+9+5</f>
        <v>86</v>
      </c>
      <c r="F8" s="439"/>
      <c r="G8" s="439"/>
      <c r="H8" s="439"/>
      <c r="I8" s="439"/>
      <c r="J8" s="439"/>
      <c r="K8" s="439"/>
      <c r="L8" s="439"/>
      <c r="M8" s="439">
        <f>10+23+14+8+9+10+8+5</f>
        <v>87</v>
      </c>
      <c r="N8" s="439"/>
      <c r="O8" s="440"/>
      <c r="P8" s="372">
        <f t="shared" si="0"/>
        <v>2</v>
      </c>
      <c r="Q8" s="221"/>
    </row>
    <row r="9" spans="1:19">
      <c r="A9" s="372">
        <f t="shared" si="1"/>
        <v>7</v>
      </c>
      <c r="B9" s="391"/>
      <c r="C9" s="439"/>
      <c r="D9" s="439"/>
      <c r="E9" s="439"/>
      <c r="F9" s="439"/>
      <c r="G9" s="439"/>
      <c r="H9" s="439">
        <v>81</v>
      </c>
      <c r="I9" s="439">
        <v>90</v>
      </c>
      <c r="J9" s="439">
        <v>77</v>
      </c>
      <c r="K9" s="439">
        <v>58</v>
      </c>
      <c r="L9" s="439"/>
      <c r="M9" s="439"/>
      <c r="N9" s="439"/>
      <c r="O9" s="440"/>
      <c r="P9" s="372">
        <f t="shared" si="0"/>
        <v>4</v>
      </c>
      <c r="Q9" s="221"/>
      <c r="R9" s="283"/>
      <c r="S9" s="283"/>
    </row>
    <row r="10" spans="1:19">
      <c r="A10" s="372">
        <f t="shared" si="1"/>
        <v>8</v>
      </c>
      <c r="B10" s="391"/>
      <c r="C10" s="439"/>
      <c r="D10" s="439"/>
      <c r="E10" s="439"/>
      <c r="F10" s="439"/>
      <c r="G10" s="439"/>
      <c r="H10" s="439"/>
      <c r="I10" s="439"/>
      <c r="J10" s="439"/>
      <c r="K10" s="439">
        <v>68</v>
      </c>
      <c r="L10" s="439">
        <v>53</v>
      </c>
      <c r="M10" s="439">
        <v>60</v>
      </c>
      <c r="N10" s="439">
        <v>54</v>
      </c>
      <c r="O10" s="440"/>
      <c r="P10" s="372">
        <f t="shared" si="0"/>
        <v>4</v>
      </c>
      <c r="Q10" s="221"/>
      <c r="R10" s="154"/>
      <c r="S10" s="154"/>
    </row>
    <row r="11" spans="1:19">
      <c r="A11" s="372">
        <f t="shared" si="1"/>
        <v>9</v>
      </c>
      <c r="B11" s="391"/>
      <c r="C11" s="439"/>
      <c r="D11" s="439"/>
      <c r="E11" s="439"/>
      <c r="F11" s="439"/>
      <c r="G11" s="439"/>
      <c r="H11" s="439">
        <v>87</v>
      </c>
      <c r="I11" s="439">
        <v>93</v>
      </c>
      <c r="J11" s="439">
        <v>82</v>
      </c>
      <c r="K11" s="439">
        <v>77</v>
      </c>
      <c r="L11" s="439"/>
      <c r="M11" s="439"/>
      <c r="N11" s="439"/>
      <c r="O11" s="440"/>
      <c r="P11" s="372">
        <f t="shared" si="0"/>
        <v>4</v>
      </c>
      <c r="Q11" s="221"/>
      <c r="R11" s="283"/>
      <c r="S11" s="283"/>
    </row>
    <row r="12" spans="1:19">
      <c r="A12" s="372">
        <f t="shared" si="1"/>
        <v>10</v>
      </c>
      <c r="B12" s="391"/>
      <c r="C12" s="439"/>
      <c r="D12" s="439"/>
      <c r="E12" s="439"/>
      <c r="F12" s="439"/>
      <c r="G12" s="439"/>
      <c r="H12" s="439"/>
      <c r="I12" s="439"/>
      <c r="J12" s="439"/>
      <c r="K12" s="439">
        <v>79</v>
      </c>
      <c r="L12" s="439">
        <v>79</v>
      </c>
      <c r="M12" s="439">
        <v>73</v>
      </c>
      <c r="N12" s="439">
        <v>83</v>
      </c>
      <c r="O12" s="440"/>
      <c r="P12" s="372">
        <f t="shared" si="0"/>
        <v>4</v>
      </c>
      <c r="Q12" s="221"/>
      <c r="R12" s="283"/>
      <c r="S12" s="283"/>
    </row>
    <row r="13" spans="1:19">
      <c r="A13" s="372">
        <f t="shared" si="1"/>
        <v>11</v>
      </c>
      <c r="B13" s="377"/>
      <c r="C13" s="439">
        <v>85</v>
      </c>
      <c r="D13" s="439">
        <v>67</v>
      </c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40"/>
      <c r="P13" s="372">
        <f t="shared" si="0"/>
        <v>2</v>
      </c>
      <c r="Q13" s="221"/>
      <c r="R13" s="154"/>
      <c r="S13" s="154"/>
    </row>
    <row r="14" spans="1:19">
      <c r="A14" s="372">
        <f t="shared" si="1"/>
        <v>12</v>
      </c>
      <c r="B14" s="377"/>
      <c r="C14" s="439">
        <v>84</v>
      </c>
      <c r="D14" s="439">
        <v>62</v>
      </c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40"/>
      <c r="P14" s="372">
        <f t="shared" si="0"/>
        <v>2</v>
      </c>
      <c r="Q14" s="221"/>
      <c r="R14" s="154"/>
      <c r="S14" s="154"/>
    </row>
    <row r="15" spans="1:19">
      <c r="A15" s="372">
        <f t="shared" si="1"/>
        <v>13</v>
      </c>
      <c r="B15" s="377"/>
      <c r="C15" s="439">
        <v>43</v>
      </c>
      <c r="D15" s="439">
        <v>26</v>
      </c>
      <c r="E15" s="439">
        <v>61</v>
      </c>
      <c r="F15" s="439"/>
      <c r="G15" s="439"/>
      <c r="H15" s="439"/>
      <c r="I15" s="439"/>
      <c r="J15" s="439"/>
      <c r="K15" s="439"/>
      <c r="L15" s="439"/>
      <c r="M15" s="439"/>
      <c r="N15" s="439"/>
      <c r="O15" s="440">
        <v>63</v>
      </c>
      <c r="P15" s="372">
        <f t="shared" si="0"/>
        <v>4</v>
      </c>
      <c r="Q15" s="221"/>
      <c r="R15" s="154"/>
      <c r="S15" s="154"/>
    </row>
    <row r="16" spans="1:19">
      <c r="A16" s="372">
        <f t="shared" si="1"/>
        <v>14</v>
      </c>
      <c r="B16" s="304"/>
      <c r="C16" s="439"/>
      <c r="D16" s="439"/>
      <c r="E16" s="439"/>
      <c r="F16" s="439"/>
      <c r="G16" s="439"/>
      <c r="H16" s="439"/>
      <c r="I16" s="439"/>
      <c r="J16" s="439"/>
      <c r="K16" s="439"/>
      <c r="L16" s="439">
        <v>65</v>
      </c>
      <c r="M16" s="439">
        <v>64</v>
      </c>
      <c r="N16" s="439">
        <v>73</v>
      </c>
      <c r="O16" s="440">
        <v>86</v>
      </c>
      <c r="P16" s="372">
        <f t="shared" si="0"/>
        <v>4</v>
      </c>
      <c r="Q16" s="221"/>
      <c r="R16" s="154"/>
      <c r="S16" s="154"/>
    </row>
    <row r="17" spans="1:20">
      <c r="A17" s="372">
        <f t="shared" si="1"/>
        <v>15</v>
      </c>
      <c r="B17" s="377"/>
      <c r="C17" s="439"/>
      <c r="D17" s="439"/>
      <c r="E17" s="439"/>
      <c r="F17" s="439"/>
      <c r="G17" s="439"/>
      <c r="H17" s="439"/>
      <c r="I17" s="439"/>
      <c r="J17" s="439"/>
      <c r="K17" s="439"/>
      <c r="L17" s="439">
        <v>75</v>
      </c>
      <c r="M17" s="439">
        <v>69</v>
      </c>
      <c r="N17" s="439">
        <v>85</v>
      </c>
      <c r="O17" s="440">
        <v>100</v>
      </c>
      <c r="P17" s="372">
        <f t="shared" si="0"/>
        <v>4</v>
      </c>
      <c r="Q17" s="221"/>
      <c r="R17" s="154"/>
      <c r="S17" s="154"/>
    </row>
    <row r="18" spans="1:20">
      <c r="A18" s="372">
        <f t="shared" si="1"/>
        <v>16</v>
      </c>
      <c r="B18" s="391"/>
      <c r="C18" s="439"/>
      <c r="D18" s="439"/>
      <c r="E18" s="439">
        <v>84</v>
      </c>
      <c r="F18" s="439">
        <v>80</v>
      </c>
      <c r="G18" s="439"/>
      <c r="H18" s="439"/>
      <c r="I18" s="439"/>
      <c r="J18" s="439"/>
      <c r="K18" s="439"/>
      <c r="L18" s="439"/>
      <c r="M18" s="439"/>
      <c r="N18" s="439"/>
      <c r="O18" s="440"/>
      <c r="P18" s="372">
        <f t="shared" si="0"/>
        <v>2</v>
      </c>
      <c r="Q18" s="221"/>
      <c r="R18" s="154"/>
      <c r="S18" s="154"/>
    </row>
    <row r="19" spans="1:20">
      <c r="A19" s="372">
        <f t="shared" si="1"/>
        <v>17</v>
      </c>
      <c r="B19" s="304"/>
      <c r="C19" s="439"/>
      <c r="D19" s="439">
        <v>75</v>
      </c>
      <c r="E19" s="439">
        <v>82</v>
      </c>
      <c r="F19" s="439">
        <v>79</v>
      </c>
      <c r="G19" s="439">
        <v>84</v>
      </c>
      <c r="H19" s="439"/>
      <c r="I19" s="439"/>
      <c r="J19" s="439"/>
      <c r="K19" s="439"/>
      <c r="L19" s="439"/>
      <c r="M19" s="439"/>
      <c r="N19" s="439"/>
      <c r="O19" s="440"/>
      <c r="P19" s="372">
        <f t="shared" si="0"/>
        <v>4</v>
      </c>
      <c r="Q19" s="221"/>
      <c r="R19" s="154"/>
      <c r="S19" s="154"/>
    </row>
    <row r="20" spans="1:20">
      <c r="A20" s="372">
        <f t="shared" si="1"/>
        <v>18</v>
      </c>
      <c r="B20" s="443"/>
      <c r="C20" s="439"/>
      <c r="D20" s="439"/>
      <c r="E20" s="439"/>
      <c r="F20" s="439"/>
      <c r="G20" s="439"/>
      <c r="H20" s="439"/>
      <c r="I20" s="439">
        <v>86</v>
      </c>
      <c r="J20" s="439">
        <v>49</v>
      </c>
      <c r="K20" s="439"/>
      <c r="L20" s="439">
        <v>76</v>
      </c>
      <c r="M20" s="439"/>
      <c r="N20" s="439"/>
      <c r="O20" s="440"/>
      <c r="P20" s="372">
        <f t="shared" si="0"/>
        <v>3</v>
      </c>
      <c r="Q20" s="221"/>
      <c r="R20" s="283"/>
      <c r="S20" s="283"/>
    </row>
    <row r="21" spans="1:20">
      <c r="A21" s="372">
        <f t="shared" si="1"/>
        <v>19</v>
      </c>
      <c r="B21" s="304"/>
      <c r="C21" s="439"/>
      <c r="D21" s="439"/>
      <c r="E21" s="439"/>
      <c r="F21" s="439"/>
      <c r="G21" s="439"/>
      <c r="H21" s="439"/>
      <c r="I21" s="439">
        <v>66</v>
      </c>
      <c r="J21" s="439">
        <f>2+5+5+5+0+5+5+5</f>
        <v>32</v>
      </c>
      <c r="K21" s="439">
        <f>5+10+5+5+0+0+10+5</f>
        <v>40</v>
      </c>
      <c r="L21" s="439">
        <f>2+5+3+5+0+2+5+5</f>
        <v>27</v>
      </c>
      <c r="M21" s="439"/>
      <c r="N21" s="439"/>
      <c r="O21" s="440"/>
      <c r="P21" s="372">
        <f t="shared" si="0"/>
        <v>4</v>
      </c>
      <c r="Q21" s="221"/>
      <c r="R21" s="283"/>
      <c r="S21" s="283"/>
    </row>
    <row r="22" spans="1:20">
      <c r="A22" s="372">
        <f t="shared" si="1"/>
        <v>20</v>
      </c>
      <c r="B22" s="304"/>
      <c r="C22" s="439"/>
      <c r="D22" s="439"/>
      <c r="E22" s="439">
        <f>9+23+12+13+8+8+9+3</f>
        <v>85</v>
      </c>
      <c r="F22" s="439">
        <f>6+15+10+13+2+2+5+5</f>
        <v>58</v>
      </c>
      <c r="G22" s="439">
        <f>9+23+14+14+10+10+10+5</f>
        <v>95</v>
      </c>
      <c r="H22" s="439">
        <f>9+22+12+12+8+10+10+5</f>
        <v>88</v>
      </c>
      <c r="I22" s="439"/>
      <c r="J22" s="439"/>
      <c r="K22" s="439"/>
      <c r="L22" s="439"/>
      <c r="M22" s="439"/>
      <c r="N22" s="439"/>
      <c r="O22" s="442"/>
      <c r="P22" s="372">
        <f t="shared" si="0"/>
        <v>4</v>
      </c>
    </row>
    <row r="23" spans="1:20">
      <c r="A23" s="372">
        <f t="shared" si="1"/>
        <v>21</v>
      </c>
      <c r="B23" s="304"/>
      <c r="C23" s="439"/>
      <c r="D23" s="439"/>
      <c r="E23" s="439"/>
      <c r="F23" s="439"/>
      <c r="G23" s="439">
        <v>79</v>
      </c>
      <c r="H23" s="439">
        <v>83</v>
      </c>
      <c r="I23" s="439"/>
      <c r="J23" s="439"/>
      <c r="K23" s="439"/>
      <c r="L23" s="439"/>
      <c r="M23" s="439"/>
      <c r="N23" s="439"/>
      <c r="O23" s="440"/>
      <c r="P23" s="372">
        <f t="shared" si="0"/>
        <v>2</v>
      </c>
      <c r="Q23" s="221"/>
      <c r="R23" s="283"/>
      <c r="S23" s="283"/>
    </row>
    <row r="24" spans="1:20">
      <c r="A24" s="372">
        <f t="shared" si="1"/>
        <v>22</v>
      </c>
      <c r="B24" s="304"/>
      <c r="C24" s="439">
        <v>73</v>
      </c>
      <c r="D24" s="439">
        <v>65</v>
      </c>
      <c r="E24" s="439">
        <v>85</v>
      </c>
      <c r="F24" s="439">
        <v>72</v>
      </c>
      <c r="G24" s="439">
        <v>62</v>
      </c>
      <c r="H24" s="439">
        <v>73</v>
      </c>
      <c r="I24" s="439">
        <v>80</v>
      </c>
      <c r="J24" s="439">
        <v>58</v>
      </c>
      <c r="K24" s="439">
        <v>77</v>
      </c>
      <c r="L24" s="439">
        <v>65</v>
      </c>
      <c r="M24" s="439">
        <v>52</v>
      </c>
      <c r="N24" s="439">
        <v>63</v>
      </c>
      <c r="O24" s="440">
        <v>86</v>
      </c>
      <c r="P24" s="372">
        <f t="shared" si="0"/>
        <v>13</v>
      </c>
    </row>
    <row r="25" spans="1:20">
      <c r="A25" s="372">
        <f t="shared" si="1"/>
        <v>23</v>
      </c>
      <c r="B25" s="304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40">
        <v>88</v>
      </c>
      <c r="P25" s="372">
        <f t="shared" si="0"/>
        <v>1</v>
      </c>
      <c r="Q25" s="221"/>
      <c r="R25" s="154"/>
      <c r="S25" s="154"/>
    </row>
    <row r="26" spans="1:20">
      <c r="A26" s="372">
        <f t="shared" si="1"/>
        <v>24</v>
      </c>
      <c r="B26" s="304"/>
      <c r="C26" s="439"/>
      <c r="D26" s="439"/>
      <c r="E26" s="439">
        <v>74</v>
      </c>
      <c r="F26" s="439">
        <v>81</v>
      </c>
      <c r="G26" s="439">
        <v>97</v>
      </c>
      <c r="H26" s="439">
        <v>84</v>
      </c>
      <c r="I26" s="439"/>
      <c r="J26" s="439"/>
      <c r="K26" s="439"/>
      <c r="L26" s="439"/>
      <c r="M26" s="439"/>
      <c r="N26" s="439"/>
      <c r="O26" s="440"/>
      <c r="P26" s="372">
        <f t="shared" si="0"/>
        <v>4</v>
      </c>
      <c r="Q26" s="221"/>
      <c r="R26" s="154"/>
      <c r="S26" s="154"/>
    </row>
    <row r="27" spans="1:20">
      <c r="A27" s="372">
        <f t="shared" si="1"/>
        <v>25</v>
      </c>
      <c r="B27" s="304"/>
      <c r="C27" s="439"/>
      <c r="D27" s="439"/>
      <c r="E27" s="439">
        <v>86</v>
      </c>
      <c r="F27" s="439"/>
      <c r="G27" s="439"/>
      <c r="H27" s="439"/>
      <c r="I27" s="439"/>
      <c r="J27" s="439"/>
      <c r="K27" s="439"/>
      <c r="L27" s="439"/>
      <c r="M27" s="439">
        <v>87</v>
      </c>
      <c r="N27" s="439"/>
      <c r="O27" s="442"/>
      <c r="P27" s="372">
        <f t="shared" si="0"/>
        <v>2</v>
      </c>
      <c r="Q27" s="221"/>
      <c r="R27" s="154"/>
      <c r="S27" s="154"/>
    </row>
    <row r="28" spans="1:20">
      <c r="A28" s="372">
        <f t="shared" si="1"/>
        <v>26</v>
      </c>
      <c r="B28" s="304"/>
      <c r="C28" s="439">
        <v>89</v>
      </c>
      <c r="D28" s="439">
        <v>50</v>
      </c>
      <c r="E28" s="439">
        <v>63</v>
      </c>
      <c r="F28" s="439">
        <v>59</v>
      </c>
      <c r="G28" s="439"/>
      <c r="H28" s="439"/>
      <c r="I28" s="439"/>
      <c r="J28" s="439"/>
      <c r="K28" s="439"/>
      <c r="L28" s="439"/>
      <c r="M28" s="441"/>
      <c r="N28" s="439"/>
      <c r="O28" s="440"/>
      <c r="P28" s="372">
        <f t="shared" si="0"/>
        <v>4</v>
      </c>
    </row>
    <row r="29" spans="1:20">
      <c r="A29" s="372">
        <f t="shared" si="1"/>
        <v>27</v>
      </c>
      <c r="B29" s="304"/>
      <c r="C29" s="439">
        <v>78</v>
      </c>
      <c r="D29" s="439">
        <v>48</v>
      </c>
      <c r="E29" s="439">
        <v>82</v>
      </c>
      <c r="F29" s="439">
        <v>78</v>
      </c>
      <c r="G29" s="439"/>
      <c r="H29" s="439"/>
      <c r="I29" s="439"/>
      <c r="J29" s="439"/>
      <c r="K29" s="439"/>
      <c r="L29" s="439"/>
      <c r="M29" s="439"/>
      <c r="N29" s="439"/>
      <c r="O29" s="440"/>
      <c r="P29" s="372">
        <f t="shared" si="0"/>
        <v>4</v>
      </c>
      <c r="Q29" s="221"/>
      <c r="R29" s="154"/>
      <c r="S29" s="154"/>
      <c r="T29" s="283" t="s">
        <v>229</v>
      </c>
    </row>
    <row r="30" spans="1:20">
      <c r="A30" s="372">
        <f t="shared" si="1"/>
        <v>28</v>
      </c>
      <c r="B30" s="304"/>
      <c r="C30" s="439"/>
      <c r="D30" s="439"/>
      <c r="E30" s="439"/>
      <c r="F30" s="439"/>
      <c r="G30" s="439"/>
      <c r="H30" s="439"/>
      <c r="I30" s="439"/>
      <c r="J30" s="439"/>
      <c r="K30" s="439">
        <v>68</v>
      </c>
      <c r="L30" s="439">
        <v>87</v>
      </c>
      <c r="M30" s="439">
        <v>79</v>
      </c>
      <c r="N30" s="439">
        <v>82</v>
      </c>
      <c r="O30" s="440"/>
      <c r="P30" s="372">
        <f t="shared" si="0"/>
        <v>4</v>
      </c>
      <c r="Q30" s="221"/>
      <c r="R30" s="154"/>
      <c r="S30" s="154"/>
      <c r="T30" s="236"/>
    </row>
    <row r="31" spans="1:20">
      <c r="A31" s="372">
        <f t="shared" si="1"/>
        <v>29</v>
      </c>
      <c r="B31" s="304"/>
      <c r="C31" s="439"/>
      <c r="D31" s="439"/>
      <c r="E31" s="439"/>
      <c r="F31" s="439"/>
      <c r="G31" s="439"/>
      <c r="H31" s="439"/>
      <c r="I31" s="439"/>
      <c r="J31" s="439"/>
      <c r="K31" s="439"/>
      <c r="L31" s="439">
        <v>68</v>
      </c>
      <c r="M31" s="439">
        <v>36</v>
      </c>
      <c r="N31" s="439">
        <v>54</v>
      </c>
      <c r="O31" s="440">
        <v>80</v>
      </c>
      <c r="P31" s="372">
        <f t="shared" si="0"/>
        <v>4</v>
      </c>
      <c r="Q31" s="221"/>
      <c r="R31" s="283"/>
      <c r="S31" s="283"/>
      <c r="T31" s="236"/>
    </row>
    <row r="32" spans="1:20">
      <c r="A32" s="372">
        <f t="shared" si="1"/>
        <v>30</v>
      </c>
      <c r="B32" s="304"/>
      <c r="C32" s="439">
        <f>8+20+10+8+8+7+10+5</f>
        <v>76</v>
      </c>
      <c r="D32" s="439">
        <f>7+18+15+12+7+6+9+5</f>
        <v>79</v>
      </c>
      <c r="E32" s="439">
        <f>7+22+15+13+10+10+9+5</f>
        <v>91</v>
      </c>
      <c r="F32" s="439">
        <f>8+23+10+13+7+10+9+5</f>
        <v>85</v>
      </c>
      <c r="G32" s="439">
        <f>8+20+13+13+10+8+9+5</f>
        <v>86</v>
      </c>
      <c r="H32" s="439">
        <f>8+22+13+13+8+9+9+5</f>
        <v>87</v>
      </c>
      <c r="I32" s="439">
        <f>8+23+13+14+8+9+8+5</f>
        <v>88</v>
      </c>
      <c r="J32" s="439"/>
      <c r="K32" s="439">
        <f>8+20+13+13+5+7+8+5</f>
        <v>79</v>
      </c>
      <c r="L32" s="439"/>
      <c r="M32" s="439"/>
      <c r="N32" s="439"/>
      <c r="O32" s="440"/>
      <c r="P32" s="372">
        <f t="shared" si="0"/>
        <v>8</v>
      </c>
    </row>
    <row r="33" spans="1:17">
      <c r="A33" s="372">
        <f t="shared" si="1"/>
        <v>31</v>
      </c>
      <c r="B33" s="304"/>
      <c r="C33" s="439"/>
      <c r="D33" s="439"/>
      <c r="E33" s="439"/>
      <c r="F33" s="439"/>
      <c r="G33" s="439"/>
      <c r="H33" s="439"/>
      <c r="I33" s="439"/>
      <c r="J33" s="439"/>
      <c r="K33" s="439"/>
      <c r="L33" s="439">
        <f>7+17+11+14+8+6+7+5</f>
        <v>75</v>
      </c>
      <c r="M33" s="439">
        <f>8+17+11+10+7+6+7+5</f>
        <v>71</v>
      </c>
      <c r="N33" s="439">
        <f>6+21+10+7+9+8+7+5</f>
        <v>73</v>
      </c>
      <c r="O33" s="440">
        <f>8+23+15+13+9+8+10+5</f>
        <v>91</v>
      </c>
      <c r="P33" s="372">
        <f t="shared" si="0"/>
        <v>4</v>
      </c>
    </row>
    <row r="34" spans="1:17">
      <c r="A34" s="372">
        <f t="shared" si="1"/>
        <v>32</v>
      </c>
      <c r="B34" s="304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40">
        <v>98</v>
      </c>
      <c r="P34" s="372">
        <f t="shared" ref="P34:P50" si="2">COUNTA(C34:O34)</f>
        <v>1</v>
      </c>
    </row>
    <row r="35" spans="1:17">
      <c r="A35" s="372">
        <f t="shared" si="1"/>
        <v>33</v>
      </c>
      <c r="B35" s="304"/>
      <c r="C35" s="439"/>
      <c r="D35" s="439"/>
      <c r="E35" s="439"/>
      <c r="F35" s="439"/>
      <c r="G35" s="439">
        <v>82</v>
      </c>
      <c r="H35" s="439">
        <v>58</v>
      </c>
      <c r="I35" s="439">
        <v>94</v>
      </c>
      <c r="J35" s="439">
        <v>60</v>
      </c>
      <c r="K35" s="439"/>
      <c r="L35" s="439"/>
      <c r="M35" s="439"/>
      <c r="N35" s="439"/>
      <c r="O35" s="440"/>
      <c r="P35" s="372">
        <f t="shared" si="2"/>
        <v>4</v>
      </c>
    </row>
    <row r="36" spans="1:17">
      <c r="A36" s="372">
        <f t="shared" si="1"/>
        <v>34</v>
      </c>
      <c r="B36" s="304"/>
      <c r="C36" s="439"/>
      <c r="D36" s="439"/>
      <c r="E36" s="439"/>
      <c r="F36" s="439"/>
      <c r="G36" s="439"/>
      <c r="H36" s="439"/>
      <c r="I36" s="439"/>
      <c r="J36" s="439"/>
      <c r="K36" s="439">
        <v>45</v>
      </c>
      <c r="L36" s="439"/>
      <c r="M36" s="439"/>
      <c r="N36" s="439">
        <v>50</v>
      </c>
      <c r="O36" s="440"/>
      <c r="P36" s="372">
        <f t="shared" si="2"/>
        <v>2</v>
      </c>
    </row>
    <row r="37" spans="1:17">
      <c r="A37" s="372">
        <f t="shared" si="1"/>
        <v>35</v>
      </c>
      <c r="B37" s="304"/>
      <c r="C37" s="439"/>
      <c r="D37" s="439"/>
      <c r="E37" s="439"/>
      <c r="F37" s="439"/>
      <c r="G37" s="439">
        <v>79</v>
      </c>
      <c r="H37" s="439">
        <v>75</v>
      </c>
      <c r="I37" s="439">
        <v>93</v>
      </c>
      <c r="J37" s="439">
        <v>70</v>
      </c>
      <c r="K37" s="439"/>
      <c r="L37" s="439"/>
      <c r="M37" s="439"/>
      <c r="N37" s="439"/>
      <c r="O37" s="440"/>
      <c r="P37" s="372">
        <f t="shared" si="2"/>
        <v>4</v>
      </c>
    </row>
    <row r="38" spans="1:17">
      <c r="A38" s="372">
        <f t="shared" si="1"/>
        <v>36</v>
      </c>
      <c r="B38" s="304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>
        <v>65</v>
      </c>
      <c r="N38" s="439">
        <v>77</v>
      </c>
      <c r="O38" s="440">
        <v>84</v>
      </c>
      <c r="P38" s="372">
        <f t="shared" si="2"/>
        <v>3</v>
      </c>
    </row>
    <row r="39" spans="1:17">
      <c r="A39" s="372">
        <f t="shared" si="1"/>
        <v>37</v>
      </c>
      <c r="B39" s="304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40"/>
      <c r="P39" s="372">
        <f t="shared" si="2"/>
        <v>0</v>
      </c>
    </row>
    <row r="40" spans="1:17" s="303" customFormat="1">
      <c r="A40" s="372">
        <f t="shared" si="1"/>
        <v>38</v>
      </c>
      <c r="B40" s="385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40"/>
      <c r="P40" s="372">
        <f t="shared" si="2"/>
        <v>0</v>
      </c>
      <c r="Q40" s="302"/>
    </row>
    <row r="41" spans="1:17">
      <c r="A41" s="372">
        <f t="shared" si="1"/>
        <v>39</v>
      </c>
      <c r="B41" s="304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40"/>
      <c r="P41" s="372">
        <f t="shared" si="2"/>
        <v>0</v>
      </c>
    </row>
    <row r="42" spans="1:17">
      <c r="A42" s="372">
        <f t="shared" si="1"/>
        <v>40</v>
      </c>
      <c r="B42" s="304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40"/>
      <c r="P42" s="372">
        <f t="shared" si="2"/>
        <v>0</v>
      </c>
    </row>
    <row r="43" spans="1:17">
      <c r="A43" s="372">
        <f t="shared" si="1"/>
        <v>41</v>
      </c>
      <c r="B43" s="304"/>
      <c r="C43" s="439"/>
      <c r="D43" s="439"/>
      <c r="E43" s="439"/>
      <c r="F43" s="439"/>
      <c r="G43" s="439"/>
      <c r="H43" s="439"/>
      <c r="I43" s="439"/>
      <c r="J43" s="439"/>
      <c r="K43" s="439"/>
      <c r="L43" s="439"/>
      <c r="M43" s="439"/>
      <c r="N43" s="439"/>
      <c r="O43" s="440"/>
      <c r="P43" s="372">
        <f t="shared" si="2"/>
        <v>0</v>
      </c>
    </row>
    <row r="44" spans="1:17">
      <c r="A44" s="372">
        <f t="shared" si="1"/>
        <v>42</v>
      </c>
      <c r="B44" s="304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40"/>
      <c r="P44" s="372">
        <f t="shared" si="2"/>
        <v>0</v>
      </c>
    </row>
    <row r="45" spans="1:17">
      <c r="A45" s="372">
        <f t="shared" si="1"/>
        <v>43</v>
      </c>
      <c r="B45" s="304"/>
      <c r="C45" s="439"/>
      <c r="D45" s="439"/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40"/>
      <c r="P45" s="372">
        <f t="shared" si="2"/>
        <v>0</v>
      </c>
    </row>
    <row r="46" spans="1:17" s="283" customFormat="1">
      <c r="A46" s="372">
        <f t="shared" si="1"/>
        <v>44</v>
      </c>
      <c r="B46" s="304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40"/>
      <c r="P46" s="372">
        <f t="shared" si="2"/>
        <v>0</v>
      </c>
      <c r="Q46" s="221"/>
    </row>
    <row r="47" spans="1:17">
      <c r="A47" s="372">
        <f t="shared" si="1"/>
        <v>45</v>
      </c>
      <c r="B47" s="304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40"/>
      <c r="P47" s="372">
        <f t="shared" si="2"/>
        <v>0</v>
      </c>
    </row>
    <row r="48" spans="1:17">
      <c r="A48" s="372">
        <f t="shared" si="1"/>
        <v>46</v>
      </c>
      <c r="B48" s="304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40"/>
      <c r="P48" s="372">
        <f t="shared" si="2"/>
        <v>0</v>
      </c>
    </row>
    <row r="49" spans="1:19">
      <c r="A49" s="372">
        <f t="shared" si="1"/>
        <v>47</v>
      </c>
      <c r="B49" s="304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40"/>
      <c r="P49" s="372">
        <f t="shared" si="2"/>
        <v>0</v>
      </c>
    </row>
    <row r="50" spans="1:19">
      <c r="A50" s="372">
        <f t="shared" si="1"/>
        <v>48</v>
      </c>
      <c r="B50" s="304"/>
      <c r="C50" s="439"/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40"/>
      <c r="P50" s="372">
        <f t="shared" si="2"/>
        <v>0</v>
      </c>
    </row>
    <row r="51" spans="1:19">
      <c r="A51" s="340"/>
      <c r="B51" s="305"/>
      <c r="C51" s="439"/>
      <c r="D51" s="439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40"/>
      <c r="P51" s="372">
        <f t="shared" ref="P51:P52" si="3">COUNTA(C51:O51)</f>
        <v>0</v>
      </c>
    </row>
    <row r="52" spans="1:19">
      <c r="A52" s="340"/>
      <c r="B52" s="305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40"/>
      <c r="P52" s="372">
        <f t="shared" si="3"/>
        <v>0</v>
      </c>
    </row>
    <row r="54" spans="1:19">
      <c r="A54" s="284" t="s">
        <v>70</v>
      </c>
      <c r="C54" s="306">
        <f t="shared" ref="C54:O54" si="4">AVERAGE(C3:C53)</f>
        <v>77.900000000000006</v>
      </c>
      <c r="D54" s="306">
        <f t="shared" si="4"/>
        <v>57.545454545454547</v>
      </c>
      <c r="E54" s="306">
        <f t="shared" si="4"/>
        <v>78.785714285714292</v>
      </c>
      <c r="F54" s="306">
        <f t="shared" si="4"/>
        <v>73</v>
      </c>
      <c r="G54" s="306">
        <f t="shared" si="4"/>
        <v>85.909090909090907</v>
      </c>
      <c r="H54" s="306">
        <f t="shared" si="4"/>
        <v>77.818181818181813</v>
      </c>
      <c r="I54" s="306">
        <f t="shared" si="4"/>
        <v>86.727272727272734</v>
      </c>
      <c r="J54" s="306">
        <f t="shared" si="4"/>
        <v>63.4</v>
      </c>
      <c r="K54" s="306">
        <f t="shared" si="4"/>
        <v>64.916666666666671</v>
      </c>
      <c r="L54" s="306">
        <f t="shared" si="4"/>
        <v>66.692307692307693</v>
      </c>
      <c r="M54" s="306">
        <f t="shared" si="4"/>
        <v>62.846153846153847</v>
      </c>
      <c r="N54" s="306">
        <f t="shared" si="4"/>
        <v>63.416666666666664</v>
      </c>
      <c r="O54" s="306">
        <f t="shared" si="4"/>
        <v>87</v>
      </c>
    </row>
    <row r="55" spans="1:19">
      <c r="A55" s="284" t="s">
        <v>50</v>
      </c>
      <c r="C55" s="306">
        <f>IF(C54&lt;5, 5,C54)</f>
        <v>77.900000000000006</v>
      </c>
      <c r="D55" s="306">
        <f t="shared" ref="D55:L55" si="5">IF(D54&lt;5, 5,D54)</f>
        <v>57.545454545454547</v>
      </c>
      <c r="E55" s="306">
        <f t="shared" si="5"/>
        <v>78.785714285714292</v>
      </c>
      <c r="F55" s="306">
        <f t="shared" si="5"/>
        <v>73</v>
      </c>
      <c r="G55" s="306">
        <f t="shared" si="5"/>
        <v>85.909090909090907</v>
      </c>
      <c r="H55" s="306">
        <f t="shared" si="5"/>
        <v>77.818181818181813</v>
      </c>
      <c r="I55" s="306">
        <f t="shared" si="5"/>
        <v>86.727272727272734</v>
      </c>
      <c r="J55" s="306">
        <f t="shared" si="5"/>
        <v>63.4</v>
      </c>
      <c r="K55" s="306">
        <f t="shared" si="5"/>
        <v>64.916666666666671</v>
      </c>
      <c r="L55" s="306">
        <f t="shared" si="5"/>
        <v>66.692307692307693</v>
      </c>
      <c r="M55" s="306">
        <f t="shared" ref="M55" si="6">IF(M54&lt;5, 5,M54)</f>
        <v>62.846153846153847</v>
      </c>
      <c r="N55" s="306">
        <f t="shared" ref="N55:O55" si="7">IF(N54&lt;5, 5,N54)</f>
        <v>63.416666666666664</v>
      </c>
      <c r="O55" s="306">
        <f t="shared" si="7"/>
        <v>87</v>
      </c>
    </row>
    <row r="56" spans="1:19">
      <c r="M56" s="150"/>
      <c r="O56" s="382"/>
      <c r="S56" s="283" t="s">
        <v>138</v>
      </c>
    </row>
    <row r="57" spans="1:19">
      <c r="A57" s="284" t="s">
        <v>160</v>
      </c>
      <c r="C57" s="150">
        <f t="shared" ref="C57:O57" si="8">COUNTA(C3:C52)</f>
        <v>10</v>
      </c>
      <c r="D57" s="150">
        <f t="shared" si="8"/>
        <v>11</v>
      </c>
      <c r="E57" s="150">
        <f t="shared" si="8"/>
        <v>14</v>
      </c>
      <c r="F57" s="150">
        <f t="shared" si="8"/>
        <v>11</v>
      </c>
      <c r="G57" s="150">
        <f t="shared" si="8"/>
        <v>11</v>
      </c>
      <c r="H57" s="150">
        <f t="shared" si="8"/>
        <v>11</v>
      </c>
      <c r="I57" s="150">
        <f t="shared" si="8"/>
        <v>11</v>
      </c>
      <c r="J57" s="150">
        <f t="shared" si="8"/>
        <v>10</v>
      </c>
      <c r="K57" s="150">
        <f t="shared" si="8"/>
        <v>12</v>
      </c>
      <c r="L57" s="150">
        <f t="shared" si="8"/>
        <v>13</v>
      </c>
      <c r="M57" s="150">
        <f t="shared" si="8"/>
        <v>13</v>
      </c>
      <c r="N57" s="150">
        <f t="shared" si="8"/>
        <v>12</v>
      </c>
      <c r="O57" s="382">
        <f t="shared" si="8"/>
        <v>11</v>
      </c>
      <c r="S57" s="283" t="s">
        <v>139</v>
      </c>
    </row>
    <row r="58" spans="1:19">
      <c r="B58" s="284"/>
      <c r="C58" s="284">
        <f t="shared" ref="C58:L58" si="9">RANK(C55,$C$55:$O$55)</f>
        <v>5</v>
      </c>
      <c r="D58" s="284">
        <f t="shared" si="9"/>
        <v>13</v>
      </c>
      <c r="E58" s="284">
        <f t="shared" si="9"/>
        <v>4</v>
      </c>
      <c r="F58" s="284">
        <f t="shared" si="9"/>
        <v>7</v>
      </c>
      <c r="G58" s="284">
        <f t="shared" si="9"/>
        <v>3</v>
      </c>
      <c r="H58" s="284">
        <f t="shared" si="9"/>
        <v>6</v>
      </c>
      <c r="I58" s="284">
        <f t="shared" si="9"/>
        <v>2</v>
      </c>
      <c r="J58" s="284">
        <f t="shared" si="9"/>
        <v>11</v>
      </c>
      <c r="K58" s="284">
        <f t="shared" si="9"/>
        <v>9</v>
      </c>
      <c r="L58" s="284">
        <f t="shared" si="9"/>
        <v>8</v>
      </c>
      <c r="M58" s="284">
        <f t="shared" ref="M58" si="10">RANK(M55,$C$55:$O$55)</f>
        <v>12</v>
      </c>
      <c r="N58" s="284">
        <f t="shared" ref="N58:O58" si="11">RANK(N55,$C$55:$O$55)</f>
        <v>10</v>
      </c>
      <c r="O58" s="234">
        <f t="shared" si="11"/>
        <v>1</v>
      </c>
    </row>
  </sheetData>
  <phoneticPr fontId="24" type="noConversion"/>
  <printOptions gridLines="1"/>
  <pageMargins left="0.75" right="0.75" top="1" bottom="1" header="0.5" footer="0.5"/>
  <pageSetup scale="29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25"/>
  <sheetViews>
    <sheetView zoomScale="75" workbookViewId="0">
      <selection activeCell="A7" sqref="A7"/>
    </sheetView>
  </sheetViews>
  <sheetFormatPr defaultColWidth="8.88671875" defaultRowHeight="13.2"/>
  <cols>
    <col min="1" max="1" width="53.88671875" customWidth="1"/>
  </cols>
  <sheetData>
    <row r="1" spans="1:3" ht="17.399999999999999">
      <c r="A1" s="7" t="s">
        <v>212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23.4">
      <c r="A5" s="426" t="s">
        <v>169</v>
      </c>
      <c r="B5" s="477">
        <v>50</v>
      </c>
    </row>
    <row r="6" spans="1:3" ht="23.4">
      <c r="A6" s="426" t="s">
        <v>225</v>
      </c>
      <c r="B6" s="477">
        <v>50</v>
      </c>
    </row>
    <row r="7" spans="1:3" ht="23.4">
      <c r="A7" s="426" t="s">
        <v>228</v>
      </c>
      <c r="B7" s="477">
        <v>50</v>
      </c>
    </row>
    <row r="8" spans="1:3" s="210" customFormat="1" ht="23.4">
      <c r="A8" s="426" t="s">
        <v>227</v>
      </c>
      <c r="B8" s="477">
        <v>50</v>
      </c>
    </row>
    <row r="9" spans="1:3" ht="23.4">
      <c r="A9" s="426" t="s">
        <v>201</v>
      </c>
      <c r="B9" s="477">
        <v>50</v>
      </c>
    </row>
    <row r="10" spans="1:3" ht="23.4">
      <c r="A10" s="426" t="s">
        <v>202</v>
      </c>
      <c r="B10" s="477">
        <v>50</v>
      </c>
    </row>
    <row r="11" spans="1:3" ht="23.4">
      <c r="A11" s="426" t="s">
        <v>203</v>
      </c>
      <c r="B11" s="477">
        <v>50</v>
      </c>
    </row>
    <row r="12" spans="1:3" ht="23.4">
      <c r="A12" s="426" t="s">
        <v>208</v>
      </c>
      <c r="B12" s="477">
        <v>50</v>
      </c>
    </row>
    <row r="13" spans="1:3" ht="23.4">
      <c r="A13" s="426" t="s">
        <v>207</v>
      </c>
      <c r="B13" s="477">
        <v>50</v>
      </c>
    </row>
    <row r="14" spans="1:3" s="131" customFormat="1" ht="23.4">
      <c r="A14" s="426" t="s">
        <v>209</v>
      </c>
      <c r="B14" s="477">
        <v>50</v>
      </c>
    </row>
    <row r="15" spans="1:3" ht="23.4">
      <c r="A15" s="426" t="s">
        <v>206</v>
      </c>
      <c r="B15" s="477">
        <v>50</v>
      </c>
    </row>
    <row r="16" spans="1:3" ht="23.4">
      <c r="A16" s="426" t="s">
        <v>205</v>
      </c>
      <c r="B16" s="477">
        <v>50</v>
      </c>
    </row>
    <row r="17" spans="1:2" ht="23.4">
      <c r="A17" s="426" t="s">
        <v>204</v>
      </c>
      <c r="B17" s="477">
        <v>50</v>
      </c>
    </row>
    <row r="18" spans="1:2" ht="14.4">
      <c r="A18" s="328"/>
      <c r="B18" s="335" t="s">
        <v>44</v>
      </c>
    </row>
    <row r="19" spans="1:2">
      <c r="B19" s="283" t="s">
        <v>146</v>
      </c>
    </row>
    <row r="20" spans="1:2">
      <c r="A20" s="22"/>
    </row>
    <row r="21" spans="1:2">
      <c r="A21" s="22"/>
    </row>
    <row r="22" spans="1:2">
      <c r="A22" s="22"/>
    </row>
    <row r="23" spans="1:2">
      <c r="A23" s="22"/>
    </row>
    <row r="24" spans="1:2">
      <c r="A24" s="22"/>
    </row>
    <row r="25" spans="1:2">
      <c r="A25" s="22"/>
    </row>
  </sheetData>
  <phoneticPr fontId="24" type="noConversion"/>
  <printOptions gridLines="1"/>
  <pageMargins left="0.75" right="0.75" top="1" bottom="1" header="0.5" footer="0.5"/>
  <pageSetup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34"/>
  <sheetViews>
    <sheetView topLeftCell="A5" workbookViewId="0">
      <selection activeCell="A7" sqref="A7"/>
    </sheetView>
  </sheetViews>
  <sheetFormatPr defaultColWidth="8.88671875" defaultRowHeight="13.2"/>
  <cols>
    <col min="1" max="1" width="54.6640625" customWidth="1"/>
    <col min="2" max="2" width="11.44140625" bestFit="1" customWidth="1"/>
    <col min="3" max="3" width="12.44140625" customWidth="1"/>
    <col min="4" max="4" width="9.109375" hidden="1" customWidth="1"/>
    <col min="5" max="5" width="8.88671875" style="187"/>
    <col min="7" max="7" width="16.44140625" hidden="1" customWidth="1"/>
    <col min="8" max="8" width="11.44140625" customWidth="1"/>
    <col min="9" max="9" width="13.44140625" customWidth="1"/>
    <col min="10" max="10" width="13.109375" customWidth="1"/>
  </cols>
  <sheetData>
    <row r="1" spans="1:15" ht="17.399999999999999">
      <c r="A1" s="7" t="s">
        <v>213</v>
      </c>
      <c r="B1" s="6"/>
      <c r="C1" s="6"/>
      <c r="D1" s="6"/>
    </row>
    <row r="2" spans="1:15" s="60" customFormat="1">
      <c r="A2" s="35"/>
      <c r="B2" s="35"/>
      <c r="C2" s="35"/>
      <c r="D2" s="35"/>
      <c r="E2" s="187"/>
    </row>
    <row r="3" spans="1:15" s="60" customFormat="1">
      <c r="A3" s="35"/>
      <c r="B3" s="61"/>
      <c r="C3" s="74"/>
      <c r="D3" s="35"/>
      <c r="E3" s="187"/>
    </row>
    <row r="4" spans="1:15" s="60" customFormat="1">
      <c r="A4" s="35"/>
      <c r="B4" s="61"/>
      <c r="C4" s="74"/>
      <c r="D4" s="35"/>
      <c r="E4" s="187"/>
    </row>
    <row r="5" spans="1:15" s="60" customFormat="1" ht="17.399999999999999">
      <c r="A5" s="24"/>
      <c r="B5" s="24"/>
      <c r="C5" s="24"/>
      <c r="D5" s="35"/>
      <c r="E5" s="187"/>
      <c r="H5" s="287"/>
    </row>
    <row r="6" spans="1:15" ht="52.8">
      <c r="A6" s="122" t="s">
        <v>116</v>
      </c>
      <c r="B6" s="122"/>
      <c r="C6" s="122" t="s">
        <v>65</v>
      </c>
      <c r="D6" s="122"/>
      <c r="E6" s="248" t="s">
        <v>140</v>
      </c>
      <c r="F6" s="248"/>
      <c r="G6" s="248"/>
      <c r="H6" s="248" t="s">
        <v>113</v>
      </c>
      <c r="I6" s="248" t="s">
        <v>114</v>
      </c>
      <c r="J6" s="248" t="s">
        <v>115</v>
      </c>
      <c r="K6" s="248"/>
      <c r="L6" s="248" t="s">
        <v>143</v>
      </c>
      <c r="M6" s="248" t="s">
        <v>27</v>
      </c>
    </row>
    <row r="7" spans="1:15" ht="23.4">
      <c r="A7" s="426" t="s">
        <v>169</v>
      </c>
      <c r="C7" s="455">
        <v>11330</v>
      </c>
      <c r="D7" s="242"/>
      <c r="E7" s="290">
        <f t="shared" ref="E7:E18" si="0">-($B$24*C7)+$B$25</f>
        <v>18.497519489723601</v>
      </c>
      <c r="F7" s="49"/>
      <c r="H7" s="465">
        <v>9</v>
      </c>
      <c r="I7" s="466">
        <v>8</v>
      </c>
      <c r="J7" s="466">
        <v>3</v>
      </c>
      <c r="K7" s="49"/>
      <c r="L7" s="236">
        <f>IF(SUM(E7:J7)&lt;2.5,2.5,SUM(E7:J7))</f>
        <v>38.497519489723601</v>
      </c>
      <c r="M7" s="234">
        <f t="shared" ref="M7:M16" si="1">RANK(L7,$L$7:$L$19)</f>
        <v>6</v>
      </c>
    </row>
    <row r="8" spans="1:15" ht="23.4">
      <c r="A8" s="426" t="s">
        <v>225</v>
      </c>
      <c r="C8" s="455">
        <v>12640</v>
      </c>
      <c r="D8" s="243"/>
      <c r="E8" s="290">
        <f t="shared" si="0"/>
        <v>14.783841247342309</v>
      </c>
      <c r="F8" s="49"/>
      <c r="H8" s="467">
        <v>9</v>
      </c>
      <c r="I8" s="468">
        <v>6</v>
      </c>
      <c r="J8" s="468">
        <v>7</v>
      </c>
      <c r="K8" s="49"/>
      <c r="L8" s="236">
        <f t="shared" ref="L8:L16" si="2">IF(SUM(E8:J8)&lt;2.5,2.5,SUM(E8:J8))</f>
        <v>36.783841247342309</v>
      </c>
      <c r="M8" s="234">
        <f t="shared" si="1"/>
        <v>8</v>
      </c>
    </row>
    <row r="9" spans="1:15" ht="23.4">
      <c r="A9" s="426" t="s">
        <v>228</v>
      </c>
      <c r="C9" s="455">
        <v>11697</v>
      </c>
      <c r="D9" s="244"/>
      <c r="E9" s="290">
        <f t="shared" si="0"/>
        <v>17.457122608079381</v>
      </c>
      <c r="F9" s="49"/>
      <c r="H9" s="467">
        <v>8</v>
      </c>
      <c r="I9" s="468">
        <v>8</v>
      </c>
      <c r="J9" s="468">
        <v>6</v>
      </c>
      <c r="K9" s="49"/>
      <c r="L9" s="236">
        <f t="shared" si="2"/>
        <v>39.457122608079381</v>
      </c>
      <c r="M9" s="234">
        <f t="shared" si="1"/>
        <v>5</v>
      </c>
    </row>
    <row r="10" spans="1:15" s="232" customFormat="1" ht="23.4">
      <c r="A10" s="426" t="s">
        <v>227</v>
      </c>
      <c r="B10"/>
      <c r="C10" s="455">
        <v>17855</v>
      </c>
      <c r="D10" s="245"/>
      <c r="E10" s="290">
        <f t="shared" si="0"/>
        <v>0</v>
      </c>
      <c r="F10" s="49"/>
      <c r="G10"/>
      <c r="H10" s="467">
        <v>7</v>
      </c>
      <c r="I10" s="468">
        <v>8</v>
      </c>
      <c r="J10" s="468">
        <v>9</v>
      </c>
      <c r="K10" s="49"/>
      <c r="L10" s="236">
        <f t="shared" si="2"/>
        <v>24</v>
      </c>
      <c r="M10" s="234">
        <f t="shared" si="1"/>
        <v>12</v>
      </c>
    </row>
    <row r="11" spans="1:15" s="232" customFormat="1" ht="23.4">
      <c r="A11" s="426" t="s">
        <v>201</v>
      </c>
      <c r="B11"/>
      <c r="C11" s="455">
        <v>12593</v>
      </c>
      <c r="D11" s="244"/>
      <c r="E11" s="290">
        <f t="shared" si="0"/>
        <v>14.917080085046067</v>
      </c>
      <c r="F11" s="49"/>
      <c r="G11"/>
      <c r="H11" s="467">
        <v>9</v>
      </c>
      <c r="I11" s="468">
        <v>3</v>
      </c>
      <c r="J11" s="468">
        <v>0</v>
      </c>
      <c r="K11" s="49"/>
      <c r="L11" s="236">
        <f t="shared" si="2"/>
        <v>26.917080085046067</v>
      </c>
      <c r="M11" s="234">
        <f t="shared" si="1"/>
        <v>11</v>
      </c>
    </row>
    <row r="12" spans="1:15" s="232" customFormat="1" ht="23.4">
      <c r="A12" s="426" t="s">
        <v>202</v>
      </c>
      <c r="B12"/>
      <c r="C12" s="455">
        <v>13081</v>
      </c>
      <c r="D12" s="244"/>
      <c r="E12" s="290">
        <f t="shared" si="0"/>
        <v>13.533664068036856</v>
      </c>
      <c r="F12" s="49"/>
      <c r="G12"/>
      <c r="H12" s="467">
        <v>10</v>
      </c>
      <c r="I12" s="468">
        <v>7</v>
      </c>
      <c r="J12" s="468">
        <v>7</v>
      </c>
      <c r="K12" s="49"/>
      <c r="L12" s="236">
        <f t="shared" si="2"/>
        <v>37.533664068036856</v>
      </c>
      <c r="M12" s="234">
        <f t="shared" si="1"/>
        <v>7</v>
      </c>
    </row>
    <row r="13" spans="1:15" ht="23.4">
      <c r="A13" s="426" t="s">
        <v>203</v>
      </c>
      <c r="C13" s="455">
        <v>12799</v>
      </c>
      <c r="D13" s="242"/>
      <c r="E13" s="290">
        <f t="shared" si="0"/>
        <v>14.333097094259394</v>
      </c>
      <c r="F13" s="49"/>
      <c r="H13" s="467">
        <v>9</v>
      </c>
      <c r="I13" s="468">
        <v>10</v>
      </c>
      <c r="J13" s="468">
        <v>9</v>
      </c>
      <c r="K13" s="49"/>
      <c r="L13" s="236">
        <f t="shared" si="2"/>
        <v>42.333097094259394</v>
      </c>
      <c r="M13" s="234">
        <f t="shared" si="1"/>
        <v>3</v>
      </c>
      <c r="O13" s="187"/>
    </row>
    <row r="14" spans="1:15" ht="23.4">
      <c r="A14" s="426" t="s">
        <v>208</v>
      </c>
      <c r="C14" s="455">
        <v>11227</v>
      </c>
      <c r="D14" s="242"/>
      <c r="E14" s="290">
        <f t="shared" si="0"/>
        <v>18.789510985116941</v>
      </c>
      <c r="F14" s="49"/>
      <c r="H14" s="467">
        <v>9</v>
      </c>
      <c r="I14" s="468">
        <v>7</v>
      </c>
      <c r="J14" s="468">
        <v>8</v>
      </c>
      <c r="K14" s="49"/>
      <c r="L14" s="236">
        <f t="shared" si="2"/>
        <v>42.789510985116941</v>
      </c>
      <c r="M14" s="234">
        <f t="shared" si="1"/>
        <v>2</v>
      </c>
    </row>
    <row r="15" spans="1:15" ht="23.4">
      <c r="A15" s="426" t="s">
        <v>207</v>
      </c>
      <c r="C15" s="455">
        <v>16108</v>
      </c>
      <c r="D15" s="242"/>
      <c r="E15" s="290">
        <f t="shared" si="0"/>
        <v>4.9525159461374955</v>
      </c>
      <c r="F15" s="49"/>
      <c r="H15" s="467">
        <v>6</v>
      </c>
      <c r="I15" s="468">
        <v>5</v>
      </c>
      <c r="J15" s="468">
        <v>5</v>
      </c>
      <c r="K15" s="49"/>
      <c r="L15" s="236">
        <f t="shared" si="2"/>
        <v>20.952515946137495</v>
      </c>
      <c r="M15" s="234">
        <f t="shared" si="1"/>
        <v>13</v>
      </c>
    </row>
    <row r="16" spans="1:15" ht="23.4">
      <c r="A16" s="426" t="s">
        <v>209</v>
      </c>
      <c r="C16" s="455">
        <v>11519</v>
      </c>
      <c r="D16" s="246"/>
      <c r="E16" s="290">
        <f t="shared" si="0"/>
        <v>17.961729270021266</v>
      </c>
      <c r="F16" s="49"/>
      <c r="H16" s="467">
        <v>8</v>
      </c>
      <c r="I16" s="468">
        <v>2</v>
      </c>
      <c r="J16" s="468">
        <v>0</v>
      </c>
      <c r="K16" s="49"/>
      <c r="L16" s="236">
        <f t="shared" si="2"/>
        <v>27.961729270021266</v>
      </c>
      <c r="M16" s="234">
        <f t="shared" si="1"/>
        <v>10</v>
      </c>
    </row>
    <row r="17" spans="1:15" ht="23.4">
      <c r="A17" s="426" t="s">
        <v>206</v>
      </c>
      <c r="C17" s="455">
        <v>11832</v>
      </c>
      <c r="D17" s="247"/>
      <c r="E17" s="290">
        <f t="shared" si="0"/>
        <v>17.074415308291996</v>
      </c>
      <c r="F17" s="49"/>
      <c r="H17" s="467">
        <v>9</v>
      </c>
      <c r="I17" s="468">
        <v>7</v>
      </c>
      <c r="J17" s="468">
        <v>7</v>
      </c>
      <c r="K17" s="49"/>
      <c r="L17" s="236">
        <f t="shared" ref="L17:L18" si="3">IF(SUM(E17:J17)&lt;2.5,2.5,SUM(E17:J17))</f>
        <v>40.074415308291996</v>
      </c>
      <c r="M17" s="234">
        <f t="shared" ref="M17" si="4">RANK(L17,$L$7:$L$19)</f>
        <v>4</v>
      </c>
    </row>
    <row r="18" spans="1:15" s="131" customFormat="1" ht="23.4">
      <c r="A18" s="426" t="s">
        <v>205</v>
      </c>
      <c r="B18"/>
      <c r="C18" s="455">
        <v>14686</v>
      </c>
      <c r="D18" s="244"/>
      <c r="E18" s="290">
        <f t="shared" si="0"/>
        <v>8.9836995038979452</v>
      </c>
      <c r="F18" s="49"/>
      <c r="G18"/>
      <c r="H18" s="467">
        <v>8</v>
      </c>
      <c r="I18" s="468">
        <v>7</v>
      </c>
      <c r="J18" s="468">
        <v>9</v>
      </c>
      <c r="K18" s="49"/>
      <c r="L18" s="236">
        <f t="shared" si="3"/>
        <v>32.983699503897945</v>
      </c>
      <c r="M18" s="234">
        <f>RANK(L18,$L$7:$L$19)</f>
        <v>9</v>
      </c>
      <c r="O18" s="134"/>
    </row>
    <row r="19" spans="1:15" s="131" customFormat="1" ht="23.4">
      <c r="A19" s="426" t="s">
        <v>204</v>
      </c>
      <c r="B19"/>
      <c r="C19" s="455">
        <v>10800</v>
      </c>
      <c r="D19" s="244"/>
      <c r="E19" s="290">
        <f>-($B$24*C19)+$B$25</f>
        <v>20.000000000000004</v>
      </c>
      <c r="F19" s="49"/>
      <c r="G19"/>
      <c r="H19" s="467">
        <v>10</v>
      </c>
      <c r="I19" s="468">
        <v>10</v>
      </c>
      <c r="J19" s="468">
        <v>10</v>
      </c>
      <c r="K19" s="49"/>
      <c r="L19" s="236">
        <f t="shared" ref="L19" si="5">IF(SUM(E19:J19)&lt;2.5,2.5,SUM(E19:J19))</f>
        <v>50</v>
      </c>
      <c r="M19" s="234">
        <f>RANK(L19,$L$7:$L$19)</f>
        <v>1</v>
      </c>
    </row>
    <row r="20" spans="1:15" ht="14.4">
      <c r="A20" s="265"/>
      <c r="B20" s="53"/>
      <c r="C20" s="284"/>
      <c r="D20" s="6"/>
      <c r="M20" s="288"/>
    </row>
    <row r="21" spans="1:15" ht="14.4">
      <c r="A21" s="291" t="s">
        <v>125</v>
      </c>
      <c r="B21" s="53"/>
      <c r="C21" s="173"/>
      <c r="D21" s="6"/>
      <c r="L21" s="283" t="s">
        <v>145</v>
      </c>
    </row>
    <row r="22" spans="1:15">
      <c r="A22" s="121" t="s">
        <v>126</v>
      </c>
      <c r="B22" s="37"/>
      <c r="C22" s="48"/>
      <c r="D22" s="6"/>
    </row>
    <row r="23" spans="1:15">
      <c r="A23" s="121" t="s">
        <v>127</v>
      </c>
      <c r="B23" s="37"/>
      <c r="C23" s="48"/>
      <c r="D23" s="6"/>
    </row>
    <row r="24" spans="1:15">
      <c r="A24" s="121" t="s">
        <v>128</v>
      </c>
      <c r="B24" s="270">
        <f>20/(B27-B26)</f>
        <v>2.8348688873139618E-3</v>
      </c>
      <c r="C24" s="48"/>
      <c r="D24" s="6"/>
    </row>
    <row r="25" spans="1:15">
      <c r="A25" s="121" t="s">
        <v>129</v>
      </c>
      <c r="B25" s="37">
        <f>20+(B24*B26)</f>
        <v>50.61658398299079</v>
      </c>
      <c r="C25" s="48"/>
      <c r="D25" s="6"/>
    </row>
    <row r="26" spans="1:15">
      <c r="A26" s="121" t="s">
        <v>74</v>
      </c>
      <c r="B26" s="268">
        <f>MIN(C7:C19)</f>
        <v>10800</v>
      </c>
      <c r="C26" s="48"/>
      <c r="D26" s="6"/>
    </row>
    <row r="27" spans="1:15">
      <c r="A27" s="45" t="s">
        <v>130</v>
      </c>
      <c r="B27" s="269">
        <f>MAX(C7:C19)</f>
        <v>17855</v>
      </c>
      <c r="C27" s="48"/>
      <c r="D27" s="6"/>
    </row>
    <row r="28" spans="1:15">
      <c r="A28" s="45" t="s">
        <v>131</v>
      </c>
      <c r="B28" s="267">
        <v>20</v>
      </c>
      <c r="C28" s="48"/>
      <c r="D28" s="6"/>
    </row>
    <row r="29" spans="1:15">
      <c r="A29" s="45"/>
      <c r="B29" s="37"/>
      <c r="C29" s="48"/>
      <c r="D29" s="6"/>
    </row>
    <row r="30" spans="1:15">
      <c r="A30" s="289" t="s">
        <v>142</v>
      </c>
      <c r="B30" s="37"/>
      <c r="C30" s="48"/>
      <c r="D30" s="6"/>
      <c r="H30" s="283" t="s">
        <v>141</v>
      </c>
    </row>
    <row r="31" spans="1:15">
      <c r="A31" s="46"/>
      <c r="B31" s="37"/>
      <c r="C31" s="48"/>
    </row>
    <row r="32" spans="1:15">
      <c r="A32" s="1"/>
      <c r="B32" s="24"/>
      <c r="C32" s="1"/>
    </row>
    <row r="33" spans="1:3">
      <c r="A33" s="1"/>
      <c r="B33" s="1"/>
      <c r="C33" s="1"/>
    </row>
    <row r="34" spans="1:3">
      <c r="A34" s="1"/>
      <c r="B34" s="1"/>
      <c r="C34" s="1"/>
    </row>
  </sheetData>
  <phoneticPr fontId="24" type="noConversion"/>
  <printOptions gridLines="1"/>
  <pageMargins left="0.75" right="0.75" top="1" bottom="1" header="0.5" footer="0.5"/>
  <pageSetup scale="77" orientation="landscape" horizontalDpi="4294967294" verticalDpi="20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37"/>
  <sheetViews>
    <sheetView zoomScale="80" zoomScaleNormal="80" workbookViewId="0">
      <selection activeCell="E6" sqref="E6"/>
    </sheetView>
  </sheetViews>
  <sheetFormatPr defaultColWidth="8.88671875" defaultRowHeight="13.2"/>
  <cols>
    <col min="1" max="1" width="53" customWidth="1"/>
    <col min="2" max="16" width="7.6640625" style="345" customWidth="1"/>
    <col min="17" max="17" width="10.6640625" style="3" bestFit="1" customWidth="1"/>
    <col min="18" max="18" width="7.44140625" style="3" customWidth="1"/>
    <col min="19" max="19" width="8.88671875" style="3" customWidth="1"/>
  </cols>
  <sheetData>
    <row r="1" spans="1:22" ht="17.399999999999999">
      <c r="A1" s="366" t="s">
        <v>214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0"/>
      <c r="R1" s="31"/>
      <c r="S1" s="30"/>
    </row>
    <row r="2" spans="1:22" ht="21">
      <c r="A2" s="223" t="s">
        <v>44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3"/>
      <c r="M2" s="342"/>
      <c r="N2" s="344"/>
      <c r="O2" s="342"/>
      <c r="P2" s="342"/>
      <c r="Q2" s="40"/>
      <c r="R2" s="160"/>
      <c r="S2" s="40"/>
      <c r="T2" s="283"/>
    </row>
    <row r="3" spans="1:22" s="3" customFormat="1">
      <c r="A3" s="151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41" t="s">
        <v>70</v>
      </c>
      <c r="R3" s="41" t="s">
        <v>50</v>
      </c>
      <c r="S3" s="43" t="s">
        <v>27</v>
      </c>
      <c r="T3" s="320"/>
      <c r="U3" s="320"/>
      <c r="V3" s="321"/>
    </row>
    <row r="4" spans="1:22" ht="23.4">
      <c r="A4" s="426" t="s">
        <v>169</v>
      </c>
      <c r="B4" s="472"/>
      <c r="C4" s="473"/>
      <c r="D4" s="473"/>
      <c r="E4" s="473">
        <v>37</v>
      </c>
      <c r="F4" s="473">
        <v>29</v>
      </c>
      <c r="G4" s="473"/>
      <c r="H4" s="473">
        <v>33.5</v>
      </c>
      <c r="I4" s="473">
        <v>25</v>
      </c>
      <c r="J4" s="473"/>
      <c r="K4" s="473"/>
      <c r="L4" s="473"/>
      <c r="M4" s="473"/>
      <c r="N4" s="473"/>
      <c r="O4" s="473"/>
      <c r="P4" s="474"/>
      <c r="Q4" s="481">
        <f>AVERAGE(B4:P4)</f>
        <v>31.125</v>
      </c>
      <c r="R4" s="482">
        <f>IF(Q4&lt;2.5,2.5,Q4)</f>
        <v>31.125</v>
      </c>
      <c r="S4" s="476">
        <f t="shared" ref="S4:S16" si="0">RANK(R4,$R$4:$R$16)</f>
        <v>8</v>
      </c>
      <c r="T4" s="322"/>
      <c r="U4" s="322"/>
      <c r="V4" s="323"/>
    </row>
    <row r="5" spans="1:22" ht="23.4">
      <c r="A5" s="426" t="s">
        <v>225</v>
      </c>
      <c r="B5" s="471"/>
      <c r="C5" s="475"/>
      <c r="D5" s="475"/>
      <c r="E5" s="475">
        <v>38</v>
      </c>
      <c r="F5" s="475">
        <v>38</v>
      </c>
      <c r="G5" s="475"/>
      <c r="H5" s="475">
        <f>3.5+3+5+6+6+5+7</f>
        <v>35.5</v>
      </c>
      <c r="I5" s="475">
        <v>41</v>
      </c>
      <c r="J5" s="475"/>
      <c r="K5" s="475"/>
      <c r="L5" s="475"/>
      <c r="M5" s="475"/>
      <c r="N5" s="475"/>
      <c r="O5" s="475"/>
      <c r="P5" s="474"/>
      <c r="Q5" s="481">
        <f t="shared" ref="Q5:Q16" si="1">AVERAGE(B5:P5)</f>
        <v>38.125</v>
      </c>
      <c r="R5" s="482">
        <f t="shared" ref="R5:R12" si="2">IF(Q5&lt;2.5,2.5,Q5)</f>
        <v>38.125</v>
      </c>
      <c r="S5" s="476">
        <f t="shared" si="0"/>
        <v>3</v>
      </c>
      <c r="T5" s="322"/>
      <c r="U5" s="322"/>
      <c r="V5" s="323"/>
    </row>
    <row r="6" spans="1:22" ht="23.4">
      <c r="A6" s="426" t="s">
        <v>228</v>
      </c>
      <c r="B6" s="475">
        <v>34</v>
      </c>
      <c r="C6" s="475">
        <v>37</v>
      </c>
      <c r="D6" s="475">
        <v>35</v>
      </c>
      <c r="E6" s="475">
        <v>38</v>
      </c>
      <c r="F6" s="475">
        <v>32.5</v>
      </c>
      <c r="G6" s="475">
        <v>32</v>
      </c>
      <c r="H6" s="475"/>
      <c r="I6" s="475"/>
      <c r="J6" s="475"/>
      <c r="K6" s="475"/>
      <c r="L6" s="475"/>
      <c r="M6" s="475"/>
      <c r="N6" s="475"/>
      <c r="O6" s="475"/>
      <c r="P6" s="474"/>
      <c r="Q6" s="481">
        <f t="shared" si="1"/>
        <v>34.75</v>
      </c>
      <c r="R6" s="482">
        <f t="shared" si="2"/>
        <v>34.75</v>
      </c>
      <c r="S6" s="476">
        <f t="shared" si="0"/>
        <v>7</v>
      </c>
      <c r="T6" s="322"/>
      <c r="U6" s="322"/>
      <c r="V6" s="323"/>
    </row>
    <row r="7" spans="1:22" s="187" customFormat="1" ht="23.4">
      <c r="A7" s="426" t="s">
        <v>227</v>
      </c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4"/>
      <c r="Q7" s="481"/>
      <c r="R7" s="482"/>
      <c r="S7" s="476"/>
      <c r="T7" s="322"/>
      <c r="U7" s="322"/>
      <c r="V7" s="323"/>
    </row>
    <row r="8" spans="1:22" ht="23.4">
      <c r="A8" s="426" t="s">
        <v>201</v>
      </c>
      <c r="B8" s="475">
        <v>35</v>
      </c>
      <c r="C8" s="475">
        <f>5+4+5+5+6+6+7</f>
        <v>38</v>
      </c>
      <c r="D8" s="475">
        <f>3+4+6+5+6+5+8</f>
        <v>37</v>
      </c>
      <c r="E8" s="475">
        <v>39</v>
      </c>
      <c r="F8" s="475">
        <v>42</v>
      </c>
      <c r="G8" s="475">
        <v>35</v>
      </c>
      <c r="H8" s="475"/>
      <c r="I8" s="475"/>
      <c r="J8" s="475"/>
      <c r="K8" s="475"/>
      <c r="L8" s="475"/>
      <c r="M8" s="475"/>
      <c r="N8" s="475"/>
      <c r="O8" s="475"/>
      <c r="P8" s="474"/>
      <c r="Q8" s="481">
        <f t="shared" si="1"/>
        <v>37.666666666666664</v>
      </c>
      <c r="R8" s="482">
        <f t="shared" si="2"/>
        <v>37.666666666666664</v>
      </c>
      <c r="S8" s="476">
        <f t="shared" si="0"/>
        <v>4</v>
      </c>
      <c r="T8" s="322"/>
      <c r="U8" s="322"/>
      <c r="V8" s="323"/>
    </row>
    <row r="9" spans="1:22" ht="23.4">
      <c r="A9" s="426" t="s">
        <v>202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4"/>
      <c r="Q9" s="481"/>
      <c r="R9" s="482"/>
      <c r="S9" s="476"/>
      <c r="T9" s="322"/>
      <c r="U9" s="322"/>
      <c r="V9" s="323"/>
    </row>
    <row r="10" spans="1:22" ht="23.4">
      <c r="A10" s="426" t="s">
        <v>203</v>
      </c>
      <c r="B10" s="471">
        <f>5+4+7.5+7.5+7+7.5+10</f>
        <v>48.5</v>
      </c>
      <c r="C10" s="475">
        <v>47</v>
      </c>
      <c r="D10" s="475">
        <v>37</v>
      </c>
      <c r="E10" s="475">
        <f>5+5+7.5+7.5+7.5+7.5+10</f>
        <v>50</v>
      </c>
      <c r="F10" s="475">
        <v>46</v>
      </c>
      <c r="G10" s="475">
        <f>5+5+7.5+7+5+7+9</f>
        <v>45.5</v>
      </c>
      <c r="H10" s="471"/>
      <c r="I10" s="475"/>
      <c r="J10" s="475"/>
      <c r="K10" s="475"/>
      <c r="L10" s="475"/>
      <c r="M10" s="475"/>
      <c r="N10" s="475"/>
      <c r="O10" s="475"/>
      <c r="P10" s="474"/>
      <c r="Q10" s="481">
        <f t="shared" si="1"/>
        <v>45.666666666666664</v>
      </c>
      <c r="R10" s="482">
        <f t="shared" si="2"/>
        <v>45.666666666666664</v>
      </c>
      <c r="S10" s="476">
        <f t="shared" si="0"/>
        <v>1</v>
      </c>
      <c r="T10" s="322"/>
      <c r="U10" s="322"/>
      <c r="V10" s="323"/>
    </row>
    <row r="11" spans="1:22" ht="23.4">
      <c r="A11" s="426" t="s">
        <v>208</v>
      </c>
      <c r="B11" s="475"/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4"/>
      <c r="Q11" s="481"/>
      <c r="R11" s="482"/>
      <c r="S11" s="476"/>
      <c r="T11" s="322"/>
      <c r="U11" s="322"/>
      <c r="V11" s="323"/>
    </row>
    <row r="12" spans="1:22" ht="23.4">
      <c r="A12" s="426" t="s">
        <v>207</v>
      </c>
      <c r="B12" s="475">
        <v>27</v>
      </c>
      <c r="C12" s="475">
        <f>2+1+2+2+5+5+3</f>
        <v>20</v>
      </c>
      <c r="D12" s="475">
        <v>28</v>
      </c>
      <c r="E12" s="475">
        <v>30</v>
      </c>
      <c r="F12" s="475">
        <v>21</v>
      </c>
      <c r="G12" s="475">
        <v>26</v>
      </c>
      <c r="H12" s="475"/>
      <c r="I12" s="475"/>
      <c r="J12" s="475"/>
      <c r="K12" s="475"/>
      <c r="L12" s="475"/>
      <c r="M12" s="475"/>
      <c r="N12" s="475"/>
      <c r="O12" s="475"/>
      <c r="P12" s="474"/>
      <c r="Q12" s="481">
        <f t="shared" si="1"/>
        <v>25.333333333333332</v>
      </c>
      <c r="R12" s="482">
        <f t="shared" si="2"/>
        <v>25.333333333333332</v>
      </c>
      <c r="S12" s="476">
        <f t="shared" si="0"/>
        <v>9</v>
      </c>
      <c r="T12" s="322"/>
      <c r="U12" s="322"/>
      <c r="V12" s="323"/>
    </row>
    <row r="13" spans="1:22" ht="23.4">
      <c r="A13" s="426" t="s">
        <v>209</v>
      </c>
      <c r="B13" s="475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4"/>
      <c r="Q13" s="481"/>
      <c r="R13" s="482"/>
      <c r="S13" s="476"/>
      <c r="T13" s="322"/>
      <c r="U13" s="322"/>
      <c r="V13" s="323"/>
    </row>
    <row r="14" spans="1:22" ht="23.4">
      <c r="A14" s="426" t="s">
        <v>206</v>
      </c>
      <c r="B14" s="475">
        <v>43</v>
      </c>
      <c r="C14" s="475">
        <v>37</v>
      </c>
      <c r="D14" s="475"/>
      <c r="E14" s="475">
        <f>4+4+5+5+7+5+7</f>
        <v>37</v>
      </c>
      <c r="F14" s="475">
        <v>34.5</v>
      </c>
      <c r="G14" s="475">
        <v>36</v>
      </c>
      <c r="H14" s="475"/>
      <c r="I14" s="475"/>
      <c r="J14" s="475"/>
      <c r="K14" s="475"/>
      <c r="L14" s="475"/>
      <c r="M14" s="475"/>
      <c r="N14" s="475"/>
      <c r="O14" s="475"/>
      <c r="P14" s="474"/>
      <c r="Q14" s="481">
        <f t="shared" si="1"/>
        <v>37.5</v>
      </c>
      <c r="R14" s="482">
        <f t="shared" ref="R14:R16" si="3">IF(Q14&lt;2.5,2.5,Q14)</f>
        <v>37.5</v>
      </c>
      <c r="S14" s="476">
        <f t="shared" si="0"/>
        <v>6</v>
      </c>
      <c r="T14" s="322"/>
      <c r="U14" s="322"/>
      <c r="V14" s="323"/>
    </row>
    <row r="15" spans="1:22" ht="23.4">
      <c r="A15" s="426" t="s">
        <v>205</v>
      </c>
      <c r="B15" s="475"/>
      <c r="C15" s="475"/>
      <c r="D15" s="475"/>
      <c r="E15" s="475">
        <f>4+4+7+7+7+7+9</f>
        <v>45</v>
      </c>
      <c r="F15" s="475">
        <v>46</v>
      </c>
      <c r="G15" s="475"/>
      <c r="H15" s="475">
        <f>4+4+6.5+6.5+6.5+6+8</f>
        <v>41.5</v>
      </c>
      <c r="I15" s="475">
        <v>45</v>
      </c>
      <c r="J15" s="475"/>
      <c r="K15" s="475"/>
      <c r="L15" s="475"/>
      <c r="M15" s="475"/>
      <c r="N15" s="475"/>
      <c r="O15" s="475"/>
      <c r="P15" s="474"/>
      <c r="Q15" s="481">
        <f t="shared" si="1"/>
        <v>44.375</v>
      </c>
      <c r="R15" s="482">
        <f t="shared" si="3"/>
        <v>44.375</v>
      </c>
      <c r="S15" s="476">
        <f t="shared" si="0"/>
        <v>2</v>
      </c>
      <c r="T15" s="322"/>
      <c r="U15" s="322"/>
      <c r="V15" s="323"/>
    </row>
    <row r="16" spans="1:22" ht="23.4">
      <c r="A16" s="426" t="s">
        <v>204</v>
      </c>
      <c r="B16" s="475"/>
      <c r="C16" s="475">
        <v>39</v>
      </c>
      <c r="D16" s="475">
        <v>35.5</v>
      </c>
      <c r="E16" s="475"/>
      <c r="F16" s="475">
        <v>41</v>
      </c>
      <c r="G16" s="475">
        <v>35</v>
      </c>
      <c r="H16" s="475"/>
      <c r="I16" s="475"/>
      <c r="J16" s="475"/>
      <c r="K16" s="475"/>
      <c r="L16" s="475"/>
      <c r="M16" s="475"/>
      <c r="N16" s="475"/>
      <c r="O16" s="475"/>
      <c r="P16" s="474"/>
      <c r="Q16" s="481">
        <f t="shared" si="1"/>
        <v>37.625</v>
      </c>
      <c r="R16" s="482">
        <f t="shared" si="3"/>
        <v>37.625</v>
      </c>
      <c r="S16" s="476">
        <f t="shared" si="0"/>
        <v>5</v>
      </c>
    </row>
    <row r="17" spans="2:19"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341"/>
      <c r="M17" s="341"/>
      <c r="N17" s="341"/>
      <c r="O17" s="341"/>
      <c r="P17" s="341"/>
      <c r="Q17" s="39"/>
      <c r="R17" s="39"/>
      <c r="S17" s="39"/>
    </row>
    <row r="18" spans="2:19" ht="12.75" customHeight="1">
      <c r="B18" s="575" t="s">
        <v>236</v>
      </c>
      <c r="C18" s="575" t="s">
        <v>233</v>
      </c>
      <c r="D18" s="575" t="s">
        <v>232</v>
      </c>
      <c r="E18" s="575" t="s">
        <v>237</v>
      </c>
      <c r="F18" s="575" t="s">
        <v>235</v>
      </c>
      <c r="G18" s="575" t="s">
        <v>231</v>
      </c>
      <c r="H18" s="575" t="s">
        <v>238</v>
      </c>
      <c r="I18" s="575" t="s">
        <v>239</v>
      </c>
      <c r="J18" s="575"/>
      <c r="K18" s="575"/>
      <c r="L18" s="575"/>
      <c r="M18" s="575"/>
      <c r="N18" s="575"/>
      <c r="O18" s="575"/>
      <c r="R18" s="283" t="s">
        <v>144</v>
      </c>
    </row>
    <row r="19" spans="2:19" ht="12.75" customHeight="1"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</row>
    <row r="20" spans="2:19" ht="12.75" customHeight="1">
      <c r="B20" s="575"/>
      <c r="C20" s="575"/>
      <c r="D20" s="575"/>
      <c r="E20" s="575"/>
      <c r="F20" s="575"/>
      <c r="G20" s="575"/>
      <c r="H20" s="575"/>
      <c r="I20" s="575"/>
      <c r="J20" s="575"/>
      <c r="K20" s="575"/>
      <c r="L20" s="575"/>
      <c r="M20" s="575"/>
      <c r="N20" s="575"/>
      <c r="O20" s="575"/>
    </row>
    <row r="21" spans="2:19" ht="12.75" customHeight="1">
      <c r="B21" s="575"/>
      <c r="C21" s="575"/>
      <c r="D21" s="575"/>
      <c r="E21" s="575"/>
      <c r="F21" s="575"/>
      <c r="G21" s="575"/>
      <c r="H21" s="575"/>
      <c r="I21" s="575"/>
      <c r="J21" s="575"/>
      <c r="K21" s="575"/>
      <c r="L21" s="575"/>
      <c r="M21" s="575"/>
      <c r="N21" s="575"/>
      <c r="O21" s="575"/>
    </row>
    <row r="22" spans="2:19" ht="12.75" customHeight="1">
      <c r="B22" s="575"/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</row>
    <row r="29" spans="2:19">
      <c r="B29" s="346"/>
      <c r="C29" s="346"/>
      <c r="D29" s="346"/>
      <c r="E29" s="346"/>
      <c r="F29" s="346"/>
      <c r="G29" s="346"/>
      <c r="H29" s="346"/>
      <c r="I29" s="346"/>
      <c r="J29" s="346"/>
      <c r="K29" s="346"/>
    </row>
    <row r="37" spans="2:11">
      <c r="B37" s="346"/>
      <c r="C37" s="346"/>
      <c r="D37" s="346"/>
      <c r="E37" s="346"/>
      <c r="F37" s="346"/>
      <c r="G37" s="346"/>
      <c r="H37" s="346"/>
      <c r="I37" s="346"/>
      <c r="J37" s="346"/>
      <c r="K37" s="346"/>
    </row>
  </sheetData>
  <mergeCells count="14">
    <mergeCell ref="G18:G22"/>
    <mergeCell ref="B18:B22"/>
    <mergeCell ref="C18:C22"/>
    <mergeCell ref="D18:D22"/>
    <mergeCell ref="E18:E22"/>
    <mergeCell ref="F18:F22"/>
    <mergeCell ref="N18:N22"/>
    <mergeCell ref="O18:O22"/>
    <mergeCell ref="H18:H22"/>
    <mergeCell ref="I18:I22"/>
    <mergeCell ref="J18:J22"/>
    <mergeCell ref="K18:K22"/>
    <mergeCell ref="L18:L22"/>
    <mergeCell ref="M18:M22"/>
  </mergeCells>
  <phoneticPr fontId="24" type="noConversion"/>
  <printOptions gridLines="1"/>
  <pageMargins left="0.75" right="0.75" top="1" bottom="1" header="0.5" footer="0.5"/>
  <pageSetup scale="75" orientation="landscape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24"/>
  <sheetViews>
    <sheetView zoomScale="90" zoomScaleNormal="90" workbookViewId="0">
      <selection activeCell="H27" sqref="H27"/>
    </sheetView>
  </sheetViews>
  <sheetFormatPr defaultColWidth="8.88671875" defaultRowHeight="13.2"/>
  <cols>
    <col min="1" max="1" width="59.88671875" customWidth="1"/>
    <col min="2" max="2" width="15.33203125" customWidth="1"/>
    <col min="3" max="3" width="13.88671875" style="49" bestFit="1" customWidth="1"/>
    <col min="4" max="4" width="10.109375" customWidth="1"/>
    <col min="5" max="5" width="12.44140625" customWidth="1"/>
    <col min="7" max="7" width="10.88671875" style="38" customWidth="1"/>
    <col min="8" max="8" width="61.6640625" style="3" customWidth="1"/>
    <col min="9" max="9" width="41.88671875" customWidth="1"/>
  </cols>
  <sheetData>
    <row r="1" spans="1:16" ht="45">
      <c r="A1" s="7" t="s">
        <v>215</v>
      </c>
      <c r="E1" s="172"/>
      <c r="F1" s="172"/>
    </row>
    <row r="2" spans="1:16" ht="17.399999999999999">
      <c r="A2" s="7"/>
      <c r="B2" s="7"/>
      <c r="C2" s="386"/>
      <c r="D2" s="6" t="s">
        <v>0</v>
      </c>
      <c r="E2" s="119">
        <f>MAX(D10:D22)</f>
        <v>16.978021978021978</v>
      </c>
      <c r="F2" s="6" t="s">
        <v>11</v>
      </c>
      <c r="G2" s="353" t="s">
        <v>28</v>
      </c>
      <c r="I2" s="58"/>
    </row>
    <row r="3" spans="1:16">
      <c r="A3" s="6"/>
      <c r="B3" s="6"/>
      <c r="C3" s="387"/>
      <c r="D3" s="6" t="s">
        <v>1</v>
      </c>
      <c r="E3" s="119">
        <f>MIN(D10:D22)</f>
        <v>9.3636363636363633</v>
      </c>
      <c r="F3" s="6" t="s">
        <v>11</v>
      </c>
      <c r="G3" s="353" t="s">
        <v>29</v>
      </c>
      <c r="I3" s="58"/>
    </row>
    <row r="4" spans="1:16">
      <c r="A4" s="10"/>
      <c r="B4" s="10"/>
      <c r="C4" s="388"/>
      <c r="D4" s="6" t="s">
        <v>13</v>
      </c>
      <c r="E4" s="230">
        <v>30.9</v>
      </c>
      <c r="F4" s="6" t="s">
        <v>12</v>
      </c>
      <c r="G4" s="353" t="s">
        <v>30</v>
      </c>
      <c r="I4" s="58"/>
    </row>
    <row r="5" spans="1:16">
      <c r="A5" s="10"/>
      <c r="B5" s="10"/>
      <c r="C5" s="388"/>
      <c r="D5" s="6" t="s">
        <v>132</v>
      </c>
      <c r="E5" s="230"/>
      <c r="F5" s="6"/>
      <c r="G5" s="353"/>
      <c r="I5" s="58"/>
    </row>
    <row r="6" spans="1:16">
      <c r="A6" s="10"/>
      <c r="B6" s="10"/>
      <c r="C6" s="388"/>
      <c r="D6" s="6" t="s">
        <v>133</v>
      </c>
      <c r="E6" s="230">
        <f>100/(E2-E3)</f>
        <v>13.133035948569928</v>
      </c>
      <c r="F6" s="6"/>
      <c r="G6" s="353"/>
      <c r="I6" s="58"/>
    </row>
    <row r="7" spans="1:16">
      <c r="A7" s="10"/>
      <c r="B7" s="10"/>
      <c r="C7" s="388"/>
      <c r="D7" s="6" t="s">
        <v>134</v>
      </c>
      <c r="E7" s="230">
        <f>-(E6*E3)</f>
        <v>-122.97297297297295</v>
      </c>
      <c r="F7" s="6"/>
      <c r="G7" s="353"/>
      <c r="I7" s="58"/>
    </row>
    <row r="8" spans="1:16" ht="3" customHeight="1">
      <c r="A8" s="12"/>
      <c r="B8" s="12"/>
      <c r="C8" s="389"/>
      <c r="D8" s="12"/>
      <c r="E8" s="6"/>
      <c r="F8" s="6"/>
      <c r="H8" s="18"/>
      <c r="I8" s="59"/>
      <c r="J8" s="59"/>
    </row>
    <row r="9" spans="1:16" ht="54" customHeight="1">
      <c r="A9" s="11"/>
      <c r="B9" s="36" t="s">
        <v>262</v>
      </c>
      <c r="C9" s="390" t="s">
        <v>49</v>
      </c>
      <c r="D9" s="36" t="s">
        <v>10</v>
      </c>
      <c r="E9" s="33" t="s">
        <v>137</v>
      </c>
      <c r="F9" s="33" t="s">
        <v>27</v>
      </c>
      <c r="G9" s="146" t="s">
        <v>64</v>
      </c>
      <c r="H9" s="2" t="s">
        <v>147</v>
      </c>
      <c r="I9" s="36"/>
      <c r="J9" s="33"/>
      <c r="L9" s="145" t="s">
        <v>44</v>
      </c>
    </row>
    <row r="10" spans="1:16" ht="23.4">
      <c r="A10" s="426" t="s">
        <v>169</v>
      </c>
      <c r="B10" s="309" t="s">
        <v>185</v>
      </c>
      <c r="C10" s="450">
        <v>1.82</v>
      </c>
      <c r="D10" s="451">
        <f>+E4/C10</f>
        <v>16.978021978021978</v>
      </c>
      <c r="E10" s="452">
        <f>100+($E$6*D10)+$E$7</f>
        <v>199.99999999999994</v>
      </c>
      <c r="F10" s="453">
        <v>1</v>
      </c>
      <c r="G10" s="284">
        <v>30.9</v>
      </c>
      <c r="H10" s="224" t="s">
        <v>263</v>
      </c>
      <c r="I10" s="354"/>
      <c r="J10" s="6"/>
      <c r="L10" s="49" t="s">
        <v>44</v>
      </c>
      <c r="M10" s="60"/>
      <c r="N10" s="60"/>
      <c r="O10" s="60"/>
      <c r="P10" s="60"/>
    </row>
    <row r="11" spans="1:16" ht="23.4">
      <c r="A11" s="426" t="s">
        <v>225</v>
      </c>
      <c r="B11" s="309" t="s">
        <v>185</v>
      </c>
      <c r="C11" s="450">
        <v>2.37</v>
      </c>
      <c r="D11" s="451">
        <f>+E4/C11</f>
        <v>13.037974683544302</v>
      </c>
      <c r="E11" s="452">
        <f t="shared" ref="E11:E21" si="0">100+($E$6*D11)+$E$7</f>
        <v>148.25521724255901</v>
      </c>
      <c r="F11" s="453">
        <v>5</v>
      </c>
      <c r="G11" s="284">
        <v>30.9</v>
      </c>
      <c r="H11" s="224"/>
      <c r="I11" s="354"/>
      <c r="J11" s="6"/>
      <c r="L11" s="49"/>
      <c r="M11" s="60"/>
      <c r="N11" s="60"/>
      <c r="O11" s="60"/>
      <c r="P11" s="60"/>
    </row>
    <row r="12" spans="1:16" ht="23.4">
      <c r="A12" s="426" t="s">
        <v>228</v>
      </c>
      <c r="B12" s="309" t="s">
        <v>185</v>
      </c>
      <c r="C12" s="450">
        <v>2.08</v>
      </c>
      <c r="D12" s="451">
        <f>+E4/C12</f>
        <v>14.85576923076923</v>
      </c>
      <c r="E12" s="452">
        <f t="shared" si="0"/>
        <v>172.12837837837839</v>
      </c>
      <c r="F12" s="453">
        <v>3</v>
      </c>
      <c r="G12" s="284">
        <v>30.9</v>
      </c>
      <c r="H12" s="284"/>
      <c r="I12" s="354"/>
      <c r="J12" s="6"/>
      <c r="L12" s="49"/>
      <c r="M12" s="60"/>
      <c r="N12" s="60"/>
      <c r="O12" s="60"/>
      <c r="P12" s="60"/>
    </row>
    <row r="13" spans="1:16" s="187" customFormat="1" ht="23.4">
      <c r="A13" s="426" t="s">
        <v>227</v>
      </c>
      <c r="B13" s="309" t="s">
        <v>185</v>
      </c>
      <c r="C13" s="450"/>
      <c r="D13" s="450"/>
      <c r="E13" s="452" t="s">
        <v>44</v>
      </c>
      <c r="F13" s="453"/>
      <c r="G13" s="284" t="s">
        <v>44</v>
      </c>
      <c r="H13" s="224"/>
      <c r="I13" s="354"/>
      <c r="J13" s="190"/>
      <c r="L13" s="189"/>
    </row>
    <row r="14" spans="1:16" s="187" customFormat="1" ht="23.4">
      <c r="A14" s="426" t="s">
        <v>201</v>
      </c>
      <c r="B14" s="309" t="s">
        <v>185</v>
      </c>
      <c r="C14" s="450">
        <v>2.12</v>
      </c>
      <c r="D14" s="451">
        <f>+E4/C14</f>
        <v>14.575471698113207</v>
      </c>
      <c r="E14" s="452">
        <f t="shared" si="0"/>
        <v>168.44722080571131</v>
      </c>
      <c r="F14" s="453">
        <v>4</v>
      </c>
      <c r="G14" s="284">
        <v>30.9</v>
      </c>
      <c r="H14" s="284"/>
      <c r="I14" s="354"/>
      <c r="J14" s="190"/>
      <c r="L14" s="189" t="s">
        <v>44</v>
      </c>
    </row>
    <row r="15" spans="1:16" ht="23.4">
      <c r="A15" s="426" t="s">
        <v>202</v>
      </c>
      <c r="B15" s="309" t="s">
        <v>185</v>
      </c>
      <c r="C15" s="450"/>
      <c r="D15" s="450"/>
      <c r="E15" s="452" t="s">
        <v>44</v>
      </c>
      <c r="F15" s="453"/>
      <c r="G15" s="284">
        <v>30.9</v>
      </c>
      <c r="H15" s="284"/>
      <c r="I15" s="354"/>
      <c r="J15" s="6"/>
      <c r="L15" s="49"/>
      <c r="M15" s="60"/>
      <c r="N15" s="60"/>
      <c r="O15" s="60"/>
      <c r="P15" s="60"/>
    </row>
    <row r="16" spans="1:16" ht="15" customHeight="1">
      <c r="A16" s="426" t="s">
        <v>203</v>
      </c>
      <c r="B16" s="309" t="s">
        <v>185</v>
      </c>
      <c r="C16" s="450">
        <v>2.02</v>
      </c>
      <c r="D16" s="451">
        <f>+E4/C16</f>
        <v>15.297029702970296</v>
      </c>
      <c r="E16" s="452">
        <f t="shared" si="0"/>
        <v>177.92346802247789</v>
      </c>
      <c r="F16" s="453">
        <v>2</v>
      </c>
      <c r="G16" s="284">
        <v>30.9</v>
      </c>
      <c r="H16" s="378"/>
      <c r="I16" s="354"/>
      <c r="J16" s="6"/>
      <c r="L16" s="49" t="s">
        <v>44</v>
      </c>
      <c r="M16" s="60"/>
      <c r="N16" s="60"/>
      <c r="O16" s="60"/>
      <c r="P16" s="60"/>
    </row>
    <row r="17" spans="1:16" ht="23.4">
      <c r="A17" s="426" t="s">
        <v>208</v>
      </c>
      <c r="B17" s="309" t="s">
        <v>185</v>
      </c>
      <c r="C17" s="450"/>
      <c r="D17" s="450"/>
      <c r="E17" s="452" t="s">
        <v>44</v>
      </c>
      <c r="F17" s="453"/>
      <c r="G17" s="284" t="s">
        <v>44</v>
      </c>
      <c r="H17" s="224"/>
      <c r="I17" s="354"/>
      <c r="J17" s="6"/>
      <c r="M17" s="60"/>
      <c r="N17" s="60"/>
      <c r="O17" s="60"/>
      <c r="P17" s="60"/>
    </row>
    <row r="18" spans="1:16" ht="23.4">
      <c r="A18" s="426" t="s">
        <v>207</v>
      </c>
      <c r="B18" s="309" t="s">
        <v>185</v>
      </c>
      <c r="C18" s="450"/>
      <c r="D18" s="450"/>
      <c r="E18" s="452" t="s">
        <v>44</v>
      </c>
      <c r="F18" s="453"/>
      <c r="G18" s="284" t="s">
        <v>44</v>
      </c>
      <c r="H18" s="224"/>
      <c r="I18" s="354"/>
      <c r="J18" s="6"/>
      <c r="M18" s="60"/>
      <c r="N18" s="60"/>
      <c r="O18" s="60"/>
      <c r="P18" s="60"/>
    </row>
    <row r="19" spans="1:16" s="148" customFormat="1" ht="23.4">
      <c r="A19" s="426" t="s">
        <v>209</v>
      </c>
      <c r="B19" s="309" t="s">
        <v>185</v>
      </c>
      <c r="C19" s="450"/>
      <c r="D19" s="450"/>
      <c r="E19" s="452" t="s">
        <v>44</v>
      </c>
      <c r="F19" s="453"/>
      <c r="G19" s="284" t="s">
        <v>44</v>
      </c>
      <c r="H19" s="224"/>
      <c r="I19" s="354"/>
      <c r="J19" s="149"/>
    </row>
    <row r="20" spans="1:16" s="148" customFormat="1" ht="23.4">
      <c r="A20" s="426" t="s">
        <v>206</v>
      </c>
      <c r="B20" s="309" t="s">
        <v>185</v>
      </c>
      <c r="C20" s="450">
        <v>3.3</v>
      </c>
      <c r="D20" s="451">
        <f>+E4/C20</f>
        <v>9.3636363636363633</v>
      </c>
      <c r="E20" s="452">
        <f t="shared" si="0"/>
        <v>100.00000000000001</v>
      </c>
      <c r="F20" s="453">
        <v>7</v>
      </c>
      <c r="G20" s="284">
        <v>30.9</v>
      </c>
      <c r="H20" s="378"/>
      <c r="J20" s="149"/>
    </row>
    <row r="21" spans="1:16" s="148" customFormat="1" ht="23.4">
      <c r="A21" s="426" t="s">
        <v>205</v>
      </c>
      <c r="B21" s="309" t="s">
        <v>185</v>
      </c>
      <c r="C21" s="450">
        <v>2.38</v>
      </c>
      <c r="D21" s="451">
        <f>+E4/C21</f>
        <v>12.983193277310924</v>
      </c>
      <c r="E21" s="452">
        <f t="shared" si="0"/>
        <v>147.53577106518281</v>
      </c>
      <c r="F21" s="453">
        <v>5</v>
      </c>
      <c r="G21" s="284">
        <v>30.9</v>
      </c>
      <c r="H21" s="224"/>
      <c r="I21" s="354"/>
      <c r="J21" s="149"/>
    </row>
    <row r="22" spans="1:16" ht="23.4">
      <c r="A22" s="426" t="s">
        <v>204</v>
      </c>
      <c r="B22" s="309" t="s">
        <v>185</v>
      </c>
      <c r="C22" s="450"/>
      <c r="D22" s="450"/>
      <c r="E22" s="392"/>
      <c r="F22" s="453"/>
      <c r="G22" s="188"/>
      <c r="H22" s="378"/>
      <c r="I22" s="354"/>
    </row>
    <row r="23" spans="1:16">
      <c r="A23" s="6"/>
      <c r="B23" s="6"/>
      <c r="C23" s="250"/>
      <c r="D23" s="284"/>
      <c r="G23" s="3"/>
      <c r="H23" s="18"/>
    </row>
    <row r="24" spans="1:16">
      <c r="B24" s="292"/>
      <c r="C24" s="250"/>
      <c r="D24" s="3"/>
      <c r="E24" s="375"/>
      <c r="G24" s="3"/>
    </row>
  </sheetData>
  <phoneticPr fontId="24" type="noConversion"/>
  <printOptions gridLines="1"/>
  <pageMargins left="0.75" right="0.75" top="1" bottom="1" header="0.5" footer="0.5"/>
  <pageSetup scale="67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53"/>
  <sheetViews>
    <sheetView topLeftCell="A2" workbookViewId="0">
      <selection activeCell="C5" sqref="C5"/>
    </sheetView>
  </sheetViews>
  <sheetFormatPr defaultColWidth="8.88671875" defaultRowHeight="13.2"/>
  <cols>
    <col min="1" max="1" width="55.44140625" customWidth="1"/>
    <col min="2" max="2" width="11" style="49" customWidth="1"/>
    <col min="3" max="3" width="18.44140625" style="60" customWidth="1"/>
    <col min="4" max="4" width="15.109375" customWidth="1"/>
    <col min="5" max="5" width="16.88671875" customWidth="1"/>
    <col min="6" max="6" width="16" style="187" customWidth="1"/>
    <col min="7" max="7" width="15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ht="17.399999999999999">
      <c r="A1" s="7" t="s">
        <v>216</v>
      </c>
      <c r="B1" s="404"/>
      <c r="C1" s="35"/>
      <c r="D1" s="6"/>
      <c r="E1" s="19"/>
      <c r="F1" s="358" t="s">
        <v>135</v>
      </c>
      <c r="G1" s="229"/>
      <c r="H1" s="9"/>
      <c r="I1" s="6"/>
      <c r="J1" s="6"/>
      <c r="K1" s="6"/>
      <c r="L1" s="6"/>
      <c r="M1" s="6"/>
      <c r="N1" s="6"/>
      <c r="O1" s="6"/>
      <c r="P1" s="6"/>
    </row>
    <row r="2" spans="1:16" s="60" customFormat="1">
      <c r="A2" s="35"/>
      <c r="B2" s="388"/>
      <c r="C2" s="17"/>
      <c r="D2" s="9"/>
      <c r="E2" s="19"/>
      <c r="F2" s="358" t="s">
        <v>118</v>
      </c>
      <c r="G2" s="229"/>
      <c r="H2" s="61"/>
      <c r="I2" s="35"/>
      <c r="J2" s="35"/>
      <c r="K2" s="35"/>
      <c r="L2" s="35"/>
      <c r="M2" s="35"/>
      <c r="N2" s="35"/>
      <c r="O2" s="35"/>
      <c r="P2" s="35"/>
    </row>
    <row r="3" spans="1:16" ht="26.4">
      <c r="A3" s="379" t="s">
        <v>187</v>
      </c>
      <c r="B3" s="358"/>
      <c r="C3" s="356" t="s">
        <v>156</v>
      </c>
      <c r="D3" s="51"/>
      <c r="E3" s="2" t="s">
        <v>36</v>
      </c>
      <c r="F3" s="2" t="s">
        <v>72</v>
      </c>
      <c r="G3" s="2" t="s">
        <v>73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405" t="s">
        <v>186</v>
      </c>
      <c r="C4" s="2" t="s">
        <v>50</v>
      </c>
      <c r="D4" s="23"/>
      <c r="E4" s="478" t="s">
        <v>75</v>
      </c>
      <c r="F4" s="2" t="s">
        <v>9</v>
      </c>
      <c r="G4" s="359" t="s">
        <v>50</v>
      </c>
      <c r="H4" s="23" t="s">
        <v>27</v>
      </c>
      <c r="I4" s="23"/>
      <c r="J4" s="20"/>
      <c r="K4" s="20"/>
      <c r="L4" s="5"/>
      <c r="M4" s="5"/>
      <c r="N4" s="5"/>
      <c r="O4" s="5"/>
      <c r="P4" s="2"/>
    </row>
    <row r="5" spans="1:16" ht="23.4">
      <c r="A5" s="426" t="s">
        <v>169</v>
      </c>
      <c r="B5" s="470">
        <v>81</v>
      </c>
      <c r="C5" s="357">
        <f>10^(($B$27-B5)/10)*150</f>
        <v>59.716075583024583</v>
      </c>
      <c r="D5" s="53"/>
      <c r="E5" s="479">
        <v>5</v>
      </c>
      <c r="F5" s="358">
        <f>-($E$20*E5)+$E$21</f>
        <v>64.285714285714278</v>
      </c>
      <c r="G5" s="358">
        <f>+C5+F5</f>
        <v>124.00178986873885</v>
      </c>
      <c r="H5" s="54">
        <f>RANK(G5, $G$5:$G$17)</f>
        <v>5</v>
      </c>
      <c r="I5" s="29"/>
      <c r="J5" s="18"/>
      <c r="K5" s="53"/>
      <c r="L5" s="18"/>
      <c r="M5" s="18"/>
      <c r="N5" s="3"/>
    </row>
    <row r="6" spans="1:16" ht="23.4">
      <c r="A6" s="426" t="s">
        <v>225</v>
      </c>
      <c r="B6" s="469">
        <v>79</v>
      </c>
      <c r="C6" s="357">
        <f t="shared" ref="C6:C17" si="0">10^(($B$27-B6)/10)*150</f>
        <v>94.643601672028993</v>
      </c>
      <c r="D6" s="53"/>
      <c r="E6" s="479">
        <v>4</v>
      </c>
      <c r="F6" s="358">
        <f t="shared" ref="F6:F17" si="1">-($E$20*E6)+$E$21</f>
        <v>85.714285714285708</v>
      </c>
      <c r="G6" s="358">
        <f t="shared" ref="G6:G17" si="2">+C6+F6</f>
        <v>180.3578873863147</v>
      </c>
      <c r="H6" s="54">
        <f t="shared" ref="H6:H17" si="3">RANK(G6, $G$5:$G$17)</f>
        <v>4</v>
      </c>
      <c r="I6" s="29"/>
      <c r="J6" s="18"/>
      <c r="K6" s="53"/>
      <c r="L6" s="18"/>
      <c r="M6" s="18"/>
      <c r="N6" s="3"/>
    </row>
    <row r="7" spans="1:16" ht="23.4">
      <c r="A7" s="426" t="s">
        <v>228</v>
      </c>
      <c r="B7" s="469">
        <v>77</v>
      </c>
      <c r="C7" s="357">
        <f t="shared" si="0"/>
        <v>150</v>
      </c>
      <c r="D7" s="53"/>
      <c r="E7" s="479">
        <v>1</v>
      </c>
      <c r="F7" s="358">
        <f t="shared" si="1"/>
        <v>150</v>
      </c>
      <c r="G7" s="358">
        <f t="shared" si="2"/>
        <v>300</v>
      </c>
      <c r="H7" s="54">
        <f t="shared" si="3"/>
        <v>1</v>
      </c>
      <c r="I7" s="29"/>
      <c r="J7" s="18"/>
      <c r="K7" s="53"/>
      <c r="L7" s="18"/>
      <c r="M7" s="18"/>
      <c r="N7" s="3"/>
    </row>
    <row r="8" spans="1:16" s="154" customFormat="1" ht="23.4">
      <c r="A8" s="426" t="s">
        <v>227</v>
      </c>
      <c r="B8" s="469" t="s">
        <v>172</v>
      </c>
      <c r="C8" s="357">
        <v>0</v>
      </c>
      <c r="D8" s="53"/>
      <c r="E8" s="480" t="s">
        <v>172</v>
      </c>
      <c r="F8" s="358">
        <v>0</v>
      </c>
      <c r="G8" s="358">
        <f t="shared" si="2"/>
        <v>0</v>
      </c>
      <c r="H8" s="54">
        <f t="shared" si="3"/>
        <v>10</v>
      </c>
      <c r="I8" s="233"/>
      <c r="J8" s="240"/>
      <c r="K8" s="53"/>
      <c r="L8" s="240"/>
      <c r="M8" s="240"/>
      <c r="N8" s="220"/>
    </row>
    <row r="9" spans="1:16" s="154" customFormat="1" ht="23.4">
      <c r="A9" s="426" t="s">
        <v>201</v>
      </c>
      <c r="B9" s="469">
        <v>85</v>
      </c>
      <c r="C9" s="357">
        <v>7.5</v>
      </c>
      <c r="D9" s="53"/>
      <c r="E9" s="480" t="s">
        <v>172</v>
      </c>
      <c r="F9" s="358">
        <v>0</v>
      </c>
      <c r="G9" s="358">
        <f t="shared" si="2"/>
        <v>7.5</v>
      </c>
      <c r="H9" s="54">
        <f t="shared" si="3"/>
        <v>9</v>
      </c>
      <c r="I9" s="233"/>
      <c r="J9" s="240"/>
      <c r="K9" s="53"/>
      <c r="L9" s="240"/>
      <c r="M9" s="240"/>
      <c r="N9" s="220"/>
    </row>
    <row r="10" spans="1:16" ht="23.4">
      <c r="A10" s="426" t="s">
        <v>202</v>
      </c>
      <c r="B10" s="469" t="s">
        <v>172</v>
      </c>
      <c r="C10" s="357">
        <v>0</v>
      </c>
      <c r="D10" s="53"/>
      <c r="E10" s="480" t="s">
        <v>172</v>
      </c>
      <c r="F10" s="358">
        <v>0</v>
      </c>
      <c r="G10" s="358">
        <f t="shared" si="2"/>
        <v>0</v>
      </c>
      <c r="H10" s="54">
        <f t="shared" si="3"/>
        <v>10</v>
      </c>
      <c r="I10" s="29"/>
      <c r="L10" s="18"/>
      <c r="M10" s="18"/>
      <c r="N10" s="3"/>
    </row>
    <row r="11" spans="1:16" ht="23.4">
      <c r="A11" s="426" t="s">
        <v>203</v>
      </c>
      <c r="B11" s="469">
        <v>79</v>
      </c>
      <c r="C11" s="357">
        <f t="shared" si="0"/>
        <v>94.643601672028993</v>
      </c>
      <c r="D11" s="53"/>
      <c r="E11" s="479">
        <v>3</v>
      </c>
      <c r="F11" s="358">
        <f t="shared" si="1"/>
        <v>107.14285714285714</v>
      </c>
      <c r="G11" s="358">
        <f t="shared" si="2"/>
        <v>201.78645881488615</v>
      </c>
      <c r="H11" s="54">
        <f t="shared" si="3"/>
        <v>3</v>
      </c>
      <c r="I11" s="29"/>
      <c r="L11" s="18"/>
      <c r="M11" s="18"/>
      <c r="N11" s="3"/>
    </row>
    <row r="12" spans="1:16" ht="23.4">
      <c r="A12" s="426" t="s">
        <v>208</v>
      </c>
      <c r="B12" s="469" t="s">
        <v>172</v>
      </c>
      <c r="C12" s="357">
        <v>0</v>
      </c>
      <c r="D12" s="53"/>
      <c r="E12" s="480" t="s">
        <v>172</v>
      </c>
      <c r="F12" s="358">
        <v>0</v>
      </c>
      <c r="G12" s="358">
        <f t="shared" si="2"/>
        <v>0</v>
      </c>
      <c r="H12" s="54">
        <f t="shared" si="3"/>
        <v>10</v>
      </c>
      <c r="I12" s="29"/>
      <c r="J12" s="18"/>
      <c r="K12" s="53"/>
      <c r="L12" s="18"/>
      <c r="M12" s="18"/>
      <c r="N12" s="3"/>
    </row>
    <row r="13" spans="1:16" ht="23.4">
      <c r="A13" s="426" t="s">
        <v>207</v>
      </c>
      <c r="B13" s="469">
        <v>82</v>
      </c>
      <c r="C13" s="357">
        <f t="shared" si="0"/>
        <v>47.434164902525694</v>
      </c>
      <c r="D13" s="53"/>
      <c r="E13" s="479">
        <v>7</v>
      </c>
      <c r="F13" s="358">
        <f t="shared" si="1"/>
        <v>21.428571428571416</v>
      </c>
      <c r="G13" s="358">
        <f t="shared" si="2"/>
        <v>68.862736331097111</v>
      </c>
      <c r="H13" s="54">
        <f t="shared" si="3"/>
        <v>7</v>
      </c>
      <c r="I13" s="29"/>
      <c r="J13" s="18"/>
      <c r="K13" s="53"/>
      <c r="L13" s="18"/>
      <c r="M13" s="18"/>
      <c r="N13" s="3"/>
    </row>
    <row r="14" spans="1:16" ht="23.4">
      <c r="A14" s="426" t="s">
        <v>209</v>
      </c>
      <c r="B14" s="469" t="s">
        <v>172</v>
      </c>
      <c r="C14" s="357">
        <v>0</v>
      </c>
      <c r="D14" s="53"/>
      <c r="E14" s="480" t="s">
        <v>172</v>
      </c>
      <c r="F14" s="358">
        <v>0</v>
      </c>
      <c r="G14" s="358">
        <f t="shared" si="2"/>
        <v>0</v>
      </c>
      <c r="H14" s="54">
        <f t="shared" si="3"/>
        <v>10</v>
      </c>
      <c r="I14" s="29"/>
      <c r="J14" s="18"/>
      <c r="K14" s="53"/>
      <c r="L14" s="18"/>
      <c r="M14" s="18"/>
      <c r="N14" s="3"/>
    </row>
    <row r="15" spans="1:16" ht="23.4">
      <c r="A15" s="426" t="s">
        <v>206</v>
      </c>
      <c r="B15" s="469">
        <v>83</v>
      </c>
      <c r="C15" s="357">
        <f t="shared" si="0"/>
        <v>37.678296472643702</v>
      </c>
      <c r="D15" s="53"/>
      <c r="E15" s="479">
        <v>8</v>
      </c>
      <c r="F15" s="358">
        <f t="shared" si="1"/>
        <v>0</v>
      </c>
      <c r="G15" s="358">
        <f t="shared" si="2"/>
        <v>37.678296472643702</v>
      </c>
      <c r="H15" s="54">
        <f t="shared" si="3"/>
        <v>8</v>
      </c>
      <c r="I15" s="29"/>
      <c r="J15" s="18"/>
      <c r="K15" s="53"/>
      <c r="L15" s="18"/>
      <c r="M15" s="18"/>
      <c r="N15" s="3"/>
    </row>
    <row r="16" spans="1:16" s="131" customFormat="1" ht="23.4">
      <c r="A16" s="426" t="s">
        <v>205</v>
      </c>
      <c r="B16" s="469">
        <v>81</v>
      </c>
      <c r="C16" s="357">
        <f t="shared" si="0"/>
        <v>59.716075583024583</v>
      </c>
      <c r="D16" s="53"/>
      <c r="E16" s="479">
        <v>6</v>
      </c>
      <c r="F16" s="358">
        <f t="shared" si="1"/>
        <v>42.857142857142861</v>
      </c>
      <c r="G16" s="358">
        <f t="shared" si="2"/>
        <v>102.57321844016744</v>
      </c>
      <c r="H16" s="54">
        <f t="shared" si="3"/>
        <v>6</v>
      </c>
      <c r="I16" s="136"/>
      <c r="J16" s="132"/>
      <c r="K16" s="137"/>
      <c r="L16" s="132"/>
      <c r="M16" s="132"/>
      <c r="N16" s="130"/>
    </row>
    <row r="17" spans="1:12" s="131" customFormat="1" ht="23.4">
      <c r="A17" s="426" t="s">
        <v>204</v>
      </c>
      <c r="B17" s="469">
        <v>77</v>
      </c>
      <c r="C17" s="357">
        <f t="shared" si="0"/>
        <v>150</v>
      </c>
      <c r="D17" s="53"/>
      <c r="E17" s="479">
        <v>2</v>
      </c>
      <c r="F17" s="358">
        <f t="shared" si="1"/>
        <v>128.57142857142856</v>
      </c>
      <c r="G17" s="358">
        <f t="shared" si="2"/>
        <v>278.57142857142856</v>
      </c>
      <c r="H17" s="54">
        <f t="shared" si="3"/>
        <v>2</v>
      </c>
      <c r="I17" s="125"/>
    </row>
    <row r="18" spans="1:12">
      <c r="B18" s="406"/>
      <c r="C18" s="64"/>
      <c r="D18" s="64" t="s">
        <v>149</v>
      </c>
      <c r="E18" s="161">
        <f>MIN(E5:E17)</f>
        <v>1</v>
      </c>
      <c r="F18" s="274"/>
      <c r="G18" s="50"/>
      <c r="H18" s="50"/>
      <c r="I18" s="4"/>
      <c r="J18" s="63"/>
      <c r="K18" s="65"/>
      <c r="L18" s="1"/>
    </row>
    <row r="19" spans="1:12">
      <c r="A19" s="157" t="s">
        <v>170</v>
      </c>
      <c r="B19" s="407">
        <v>77</v>
      </c>
      <c r="C19" s="67"/>
      <c r="D19" s="67" t="s">
        <v>151</v>
      </c>
      <c r="E19" s="161">
        <f>MAX(E5:E17)</f>
        <v>8</v>
      </c>
      <c r="F19" s="271"/>
      <c r="G19" s="67"/>
      <c r="H19" s="68"/>
      <c r="I19" s="4"/>
      <c r="J19" s="1"/>
      <c r="K19" s="1"/>
      <c r="L19" s="1"/>
    </row>
    <row r="20" spans="1:12">
      <c r="A20" s="157" t="s">
        <v>171</v>
      </c>
      <c r="B20" s="408">
        <v>84</v>
      </c>
      <c r="C20" s="67"/>
      <c r="D20" s="67" t="s">
        <v>148</v>
      </c>
      <c r="E20" s="67">
        <f>150/(E19-E18)</f>
        <v>21.428571428571427</v>
      </c>
      <c r="F20" s="271"/>
      <c r="G20" s="67"/>
      <c r="H20" s="68"/>
      <c r="I20" s="4"/>
      <c r="J20" s="1"/>
      <c r="K20" s="1"/>
      <c r="L20" s="1"/>
    </row>
    <row r="21" spans="1:12">
      <c r="A21" s="264"/>
      <c r="B21" s="407"/>
      <c r="C21" s="67"/>
      <c r="D21" s="67" t="s">
        <v>150</v>
      </c>
      <c r="E21" s="67">
        <f>E20*E19</f>
        <v>171.42857142857142</v>
      </c>
      <c r="F21" s="271"/>
      <c r="G21" s="67"/>
      <c r="H21" s="68"/>
      <c r="I21" s="4"/>
      <c r="J21" s="1"/>
      <c r="K21" s="1"/>
      <c r="L21" s="1"/>
    </row>
    <row r="22" spans="1:12">
      <c r="A22" s="298"/>
      <c r="B22" s="407"/>
      <c r="C22" s="67"/>
      <c r="D22" s="67"/>
      <c r="E22" s="67"/>
      <c r="F22" s="271"/>
      <c r="G22" s="67"/>
      <c r="H22" s="68"/>
      <c r="I22" s="4"/>
      <c r="J22" s="1"/>
      <c r="K22" s="1"/>
      <c r="L22" s="1"/>
    </row>
    <row r="23" spans="1:12">
      <c r="A23" s="276"/>
      <c r="B23" s="407"/>
      <c r="C23" s="67"/>
      <c r="D23" s="67"/>
      <c r="E23" s="67"/>
      <c r="F23" s="271"/>
      <c r="G23" s="67"/>
      <c r="H23" s="68"/>
      <c r="I23" s="4"/>
      <c r="J23" s="1"/>
      <c r="K23" s="1"/>
      <c r="L23" s="1"/>
    </row>
    <row r="24" spans="1:12">
      <c r="A24" s="276"/>
      <c r="B24" s="407"/>
      <c r="C24" s="67"/>
      <c r="D24" s="67"/>
      <c r="F24" s="271"/>
      <c r="G24" s="67"/>
      <c r="H24" s="68"/>
      <c r="I24" s="4"/>
      <c r="J24" s="1"/>
      <c r="K24" s="1"/>
      <c r="L24" s="1"/>
    </row>
    <row r="25" spans="1:12">
      <c r="A25" s="276"/>
      <c r="B25" s="300" t="s">
        <v>157</v>
      </c>
      <c r="C25" s="67"/>
      <c r="D25" s="67"/>
      <c r="F25" s="271"/>
      <c r="G25" s="67"/>
      <c r="H25" s="68"/>
      <c r="I25" s="4"/>
      <c r="J25" s="1"/>
      <c r="K25" s="1"/>
      <c r="L25" s="1"/>
    </row>
    <row r="26" spans="1:12">
      <c r="A26" s="66"/>
      <c r="B26" s="409" t="s">
        <v>116</v>
      </c>
      <c r="C26" s="293" t="s">
        <v>50</v>
      </c>
      <c r="D26" s="67"/>
      <c r="E26" s="67"/>
      <c r="F26" s="271"/>
      <c r="G26" s="67"/>
      <c r="H26" s="68"/>
      <c r="I26" s="4"/>
      <c r="J26" s="1"/>
      <c r="K26" s="1"/>
      <c r="L26" s="1"/>
    </row>
    <row r="27" spans="1:12">
      <c r="A27" s="294" t="s">
        <v>152</v>
      </c>
      <c r="B27" s="410">
        <f>B19</f>
        <v>77</v>
      </c>
      <c r="C27" s="208">
        <f>10^(($B$27-B27)/10)*150</f>
        <v>150</v>
      </c>
      <c r="D27" s="300" t="s">
        <v>158</v>
      </c>
      <c r="E27" s="67"/>
      <c r="F27" s="271"/>
      <c r="G27" s="67"/>
      <c r="H27" s="68"/>
      <c r="I27" s="4"/>
      <c r="J27" s="1"/>
      <c r="K27" s="1"/>
      <c r="L27" s="1"/>
    </row>
    <row r="28" spans="1:12">
      <c r="A28" s="66"/>
      <c r="B28" s="410">
        <f>B27+0.5</f>
        <v>77.5</v>
      </c>
      <c r="C28" s="208">
        <f t="shared" ref="C28:C43" si="4">10^(($B$27-B28)/10)*150</f>
        <v>133.68764072006181</v>
      </c>
      <c r="D28" s="67"/>
      <c r="E28" s="67"/>
      <c r="F28" s="271"/>
      <c r="G28" s="67"/>
      <c r="H28" s="68"/>
      <c r="I28" s="4"/>
      <c r="J28" s="1"/>
      <c r="K28" s="1"/>
      <c r="L28" s="1"/>
    </row>
    <row r="29" spans="1:12">
      <c r="A29" s="66"/>
      <c r="B29" s="410">
        <f t="shared" ref="B29:B43" si="5">B28+0.5</f>
        <v>78</v>
      </c>
      <c r="C29" s="208">
        <f t="shared" si="4"/>
        <v>119.14923520864222</v>
      </c>
      <c r="D29" s="67"/>
      <c r="E29" s="67"/>
      <c r="F29" s="271"/>
      <c r="G29" s="67"/>
      <c r="H29" s="68"/>
      <c r="I29" s="4"/>
      <c r="J29" s="1"/>
      <c r="K29" s="1"/>
      <c r="L29" s="1"/>
    </row>
    <row r="30" spans="1:12">
      <c r="A30" s="66"/>
      <c r="B30" s="410">
        <f t="shared" si="5"/>
        <v>78.5</v>
      </c>
      <c r="C30" s="208">
        <f t="shared" si="4"/>
        <v>106.19186765762069</v>
      </c>
      <c r="D30" s="67"/>
      <c r="E30" s="67"/>
      <c r="F30" s="271"/>
      <c r="G30" s="67"/>
      <c r="H30" s="68"/>
      <c r="I30" s="4"/>
      <c r="J30" s="1"/>
      <c r="K30" s="1"/>
      <c r="L30" s="1"/>
    </row>
    <row r="31" spans="1:12">
      <c r="A31" s="66"/>
      <c r="B31" s="410">
        <f t="shared" si="5"/>
        <v>79</v>
      </c>
      <c r="C31" s="208">
        <f t="shared" si="4"/>
        <v>94.643601672028993</v>
      </c>
      <c r="D31" s="67"/>
      <c r="E31" s="67"/>
      <c r="F31" s="271"/>
      <c r="G31" s="67"/>
      <c r="H31" s="68"/>
      <c r="I31" s="4"/>
      <c r="J31" s="1"/>
      <c r="K31" s="1"/>
      <c r="L31" s="1"/>
    </row>
    <row r="32" spans="1:12">
      <c r="A32" s="66"/>
      <c r="B32" s="410">
        <f t="shared" si="5"/>
        <v>79.5</v>
      </c>
      <c r="C32" s="208">
        <f t="shared" si="4"/>
        <v>84.351198778552359</v>
      </c>
      <c r="D32" s="67"/>
      <c r="E32" s="67"/>
      <c r="F32" s="271"/>
      <c r="G32" s="67"/>
      <c r="H32" s="68"/>
      <c r="I32" s="4"/>
      <c r="J32" s="1"/>
      <c r="K32" s="1"/>
      <c r="L32" s="1"/>
    </row>
    <row r="33" spans="1:12">
      <c r="A33" s="66"/>
      <c r="B33" s="410">
        <f t="shared" si="5"/>
        <v>80</v>
      </c>
      <c r="C33" s="208">
        <f t="shared" si="4"/>
        <v>75.178085044090835</v>
      </c>
      <c r="D33" s="156"/>
      <c r="E33" s="67"/>
      <c r="F33" s="275"/>
      <c r="G33" s="157"/>
      <c r="H33" s="68"/>
      <c r="I33" s="4"/>
      <c r="J33" s="1"/>
      <c r="K33" s="1"/>
      <c r="L33" s="1"/>
    </row>
    <row r="34" spans="1:12">
      <c r="A34" s="66"/>
      <c r="B34" s="410">
        <f t="shared" si="5"/>
        <v>80.5</v>
      </c>
      <c r="C34" s="208">
        <f t="shared" si="4"/>
        <v>67.002538822644468</v>
      </c>
      <c r="D34" s="67"/>
      <c r="E34" s="67"/>
      <c r="F34" s="271"/>
      <c r="G34" s="67"/>
      <c r="H34" s="68"/>
      <c r="I34" s="4"/>
      <c r="J34" s="1"/>
      <c r="K34" s="1"/>
      <c r="L34" s="1"/>
    </row>
    <row r="35" spans="1:12">
      <c r="A35" s="1"/>
      <c r="B35" s="410">
        <f t="shared" si="5"/>
        <v>81</v>
      </c>
      <c r="C35" s="208">
        <f t="shared" si="4"/>
        <v>59.716075583024583</v>
      </c>
      <c r="D35" s="1"/>
      <c r="E35" s="1"/>
      <c r="F35" s="272"/>
      <c r="G35" s="1"/>
      <c r="H35" s="1"/>
      <c r="I35" s="4"/>
      <c r="J35" s="1"/>
      <c r="K35" s="1"/>
      <c r="L35" s="1"/>
    </row>
    <row r="36" spans="1:12">
      <c r="A36" s="1"/>
      <c r="B36" s="410">
        <f t="shared" si="5"/>
        <v>81.5</v>
      </c>
      <c r="C36" s="208">
        <f t="shared" si="4"/>
        <v>53.222008385036311</v>
      </c>
      <c r="D36" s="4"/>
      <c r="E36" s="4"/>
      <c r="F36" s="273"/>
      <c r="G36" s="4"/>
      <c r="H36" s="4"/>
      <c r="I36" s="4"/>
      <c r="J36" s="1"/>
      <c r="K36" s="1"/>
      <c r="L36" s="1"/>
    </row>
    <row r="37" spans="1:12">
      <c r="B37" s="410">
        <f t="shared" si="5"/>
        <v>82</v>
      </c>
      <c r="C37" s="208">
        <f t="shared" si="4"/>
        <v>47.434164902525694</v>
      </c>
      <c r="D37" s="4"/>
      <c r="E37" s="4"/>
      <c r="F37" s="273"/>
      <c r="G37" s="4"/>
      <c r="H37" s="4"/>
      <c r="I37" s="4"/>
    </row>
    <row r="38" spans="1:12">
      <c r="B38" s="410">
        <f t="shared" si="5"/>
        <v>82.5</v>
      </c>
      <c r="C38" s="208">
        <f t="shared" si="4"/>
        <v>42.2757439689668</v>
      </c>
      <c r="D38" s="4"/>
      <c r="E38" s="4"/>
      <c r="F38" s="273"/>
      <c r="G38" s="4"/>
      <c r="H38" s="4"/>
      <c r="I38" s="4"/>
    </row>
    <row r="39" spans="1:12">
      <c r="B39" s="410">
        <f t="shared" si="5"/>
        <v>83</v>
      </c>
      <c r="C39" s="208">
        <f t="shared" si="4"/>
        <v>37.678296472643702</v>
      </c>
      <c r="D39" s="4"/>
      <c r="E39" s="4"/>
      <c r="F39" s="273"/>
      <c r="G39" s="4"/>
      <c r="H39" s="4"/>
      <c r="I39" s="4"/>
    </row>
    <row r="40" spans="1:12">
      <c r="B40" s="410">
        <f t="shared" si="5"/>
        <v>83.5</v>
      </c>
      <c r="C40" s="208">
        <f t="shared" si="4"/>
        <v>33.580817078525087</v>
      </c>
      <c r="D40" s="4"/>
      <c r="E40" s="4"/>
      <c r="F40" s="273"/>
      <c r="G40" s="4"/>
      <c r="H40" s="4"/>
      <c r="I40" s="4"/>
    </row>
    <row r="41" spans="1:12">
      <c r="B41" s="410">
        <f t="shared" si="5"/>
        <v>84</v>
      </c>
      <c r="C41" s="208">
        <f t="shared" si="4"/>
        <v>29.928934724533192</v>
      </c>
      <c r="D41" s="4"/>
      <c r="E41" s="4"/>
      <c r="F41" s="273"/>
      <c r="G41" s="4"/>
      <c r="H41" s="4"/>
      <c r="I41" s="4"/>
    </row>
    <row r="42" spans="1:12">
      <c r="B42" s="410">
        <f t="shared" si="5"/>
        <v>84.5</v>
      </c>
      <c r="C42" s="208">
        <f t="shared" si="4"/>
        <v>26.674191150583834</v>
      </c>
      <c r="D42" s="4"/>
      <c r="E42" s="4"/>
      <c r="F42" s="273"/>
      <c r="G42" s="4"/>
      <c r="H42" s="4"/>
      <c r="I42" s="4"/>
    </row>
    <row r="43" spans="1:12">
      <c r="A43" s="285" t="s">
        <v>153</v>
      </c>
      <c r="B43" s="410">
        <f t="shared" si="5"/>
        <v>85</v>
      </c>
      <c r="C43" s="208">
        <f t="shared" si="4"/>
        <v>23.773397886916698</v>
      </c>
      <c r="D43" s="299" t="s">
        <v>159</v>
      </c>
      <c r="E43" s="4"/>
      <c r="F43" s="273"/>
      <c r="G43" s="4"/>
      <c r="H43" s="4"/>
      <c r="I43" s="4"/>
    </row>
    <row r="44" spans="1:12">
      <c r="B44" s="410"/>
      <c r="C44" s="286"/>
      <c r="D44" s="4"/>
      <c r="E44" s="4"/>
      <c r="F44" s="273"/>
      <c r="G44" s="4"/>
      <c r="H44" s="4"/>
      <c r="I44" s="4"/>
    </row>
    <row r="45" spans="1:12">
      <c r="B45" s="410"/>
      <c r="C45" s="286"/>
      <c r="D45" s="4"/>
      <c r="E45" s="4"/>
      <c r="F45" s="273"/>
      <c r="G45" s="4"/>
      <c r="H45" s="4"/>
      <c r="I45" s="4"/>
    </row>
    <row r="46" spans="1:12">
      <c r="B46" s="407"/>
      <c r="C46" s="177"/>
      <c r="D46" s="4"/>
      <c r="E46" s="4"/>
      <c r="F46" s="273"/>
      <c r="G46" s="4"/>
      <c r="H46" s="4"/>
      <c r="I46" s="4"/>
    </row>
    <row r="47" spans="1:12">
      <c r="B47" s="407"/>
      <c r="C47" s="177"/>
      <c r="D47" s="4"/>
      <c r="E47" s="4"/>
      <c r="F47" s="273"/>
      <c r="G47" s="4"/>
      <c r="H47" s="4"/>
      <c r="I47" s="4"/>
    </row>
    <row r="48" spans="1:12">
      <c r="B48" s="407"/>
      <c r="C48" s="177"/>
      <c r="D48" s="4"/>
      <c r="E48" s="4"/>
      <c r="F48" s="273"/>
      <c r="G48" s="4"/>
      <c r="H48" s="4"/>
      <c r="I48" s="4"/>
    </row>
    <row r="49" spans="2:9">
      <c r="B49" s="407"/>
      <c r="C49" s="177"/>
      <c r="D49" s="4"/>
      <c r="E49" s="4"/>
      <c r="F49" s="273"/>
      <c r="G49" s="4"/>
      <c r="H49" s="4"/>
      <c r="I49" s="4"/>
    </row>
    <row r="50" spans="2:9">
      <c r="B50" s="407"/>
      <c r="C50" s="177"/>
      <c r="D50" s="4"/>
      <c r="E50" s="4"/>
      <c r="F50" s="273"/>
      <c r="G50" s="4"/>
      <c r="H50" s="4"/>
      <c r="I50" s="4"/>
    </row>
    <row r="51" spans="2:9">
      <c r="B51" s="407"/>
      <c r="C51" s="177"/>
      <c r="D51" s="4"/>
      <c r="E51" s="4"/>
      <c r="F51" s="273"/>
      <c r="G51" s="4"/>
      <c r="H51" s="4"/>
      <c r="I51" s="4"/>
    </row>
    <row r="52" spans="2:9">
      <c r="B52" s="407"/>
    </row>
    <row r="53" spans="2:9">
      <c r="B53" s="407"/>
    </row>
  </sheetData>
  <phoneticPr fontId="24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W28"/>
  <sheetViews>
    <sheetView zoomScale="71" zoomScaleNormal="71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AM10" sqref="AM10"/>
    </sheetView>
  </sheetViews>
  <sheetFormatPr defaultColWidth="8.88671875" defaultRowHeight="13.2"/>
  <cols>
    <col min="1" max="1" width="61" customWidth="1"/>
    <col min="2" max="2" width="5.6640625" style="3" customWidth="1"/>
    <col min="3" max="18" width="5.6640625" customWidth="1"/>
    <col min="19" max="19" width="6.109375" customWidth="1"/>
    <col min="20" max="46" width="5.6640625" customWidth="1"/>
  </cols>
  <sheetData>
    <row r="1" spans="1:49" ht="17.399999999999999">
      <c r="A1" s="411" t="s">
        <v>217</v>
      </c>
      <c r="B1" s="39"/>
      <c r="C1" s="30"/>
      <c r="D1" s="30"/>
      <c r="E1" s="30"/>
      <c r="F1" s="216"/>
      <c r="G1" s="30"/>
      <c r="H1" s="30"/>
      <c r="I1" s="30"/>
      <c r="J1" s="30"/>
      <c r="K1" s="30"/>
      <c r="L1" s="30"/>
      <c r="M1" s="30"/>
      <c r="N1" s="284" t="s">
        <v>154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187"/>
      <c r="AV1" s="187"/>
    </row>
    <row r="2" spans="1:49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376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187"/>
      <c r="AV2" s="187"/>
    </row>
    <row r="3" spans="1:49" s="60" customFormat="1">
      <c r="A3" s="152"/>
      <c r="B3" s="301">
        <v>1</v>
      </c>
      <c r="C3" s="301">
        <v>2</v>
      </c>
      <c r="D3" s="301">
        <v>3</v>
      </c>
      <c r="E3" s="301">
        <v>4</v>
      </c>
      <c r="F3" s="301">
        <v>5</v>
      </c>
      <c r="G3" s="301">
        <v>6</v>
      </c>
      <c r="H3" s="301">
        <v>7</v>
      </c>
      <c r="I3" s="301">
        <v>8</v>
      </c>
      <c r="J3" s="301">
        <v>9</v>
      </c>
      <c r="K3" s="301">
        <v>10</v>
      </c>
      <c r="L3" s="301">
        <v>11</v>
      </c>
      <c r="M3" s="301">
        <v>12</v>
      </c>
      <c r="N3" s="301">
        <v>13</v>
      </c>
      <c r="O3" s="301">
        <v>14</v>
      </c>
      <c r="P3" s="301">
        <v>15</v>
      </c>
      <c r="Q3" s="301">
        <v>16</v>
      </c>
      <c r="R3" s="301">
        <v>17</v>
      </c>
      <c r="S3" s="301">
        <v>18</v>
      </c>
      <c r="T3" s="301">
        <v>19</v>
      </c>
      <c r="U3" s="301">
        <v>20</v>
      </c>
      <c r="V3" s="301">
        <v>21</v>
      </c>
      <c r="W3" s="301">
        <v>22</v>
      </c>
      <c r="X3" s="301">
        <v>23</v>
      </c>
      <c r="Y3" s="301">
        <v>24</v>
      </c>
      <c r="Z3" s="301">
        <v>25</v>
      </c>
      <c r="AA3" s="301">
        <v>26</v>
      </c>
      <c r="AB3" s="301">
        <v>27</v>
      </c>
      <c r="AC3" s="301">
        <v>28</v>
      </c>
      <c r="AD3" s="301">
        <v>29</v>
      </c>
      <c r="AE3" s="301">
        <v>30</v>
      </c>
      <c r="AF3" s="301">
        <v>31</v>
      </c>
      <c r="AG3" s="301">
        <v>32</v>
      </c>
      <c r="AH3" s="301">
        <v>33</v>
      </c>
      <c r="AI3" s="301">
        <v>34</v>
      </c>
      <c r="AJ3" s="301">
        <v>35</v>
      </c>
      <c r="AK3" s="301">
        <v>36</v>
      </c>
      <c r="AL3" s="301">
        <v>37</v>
      </c>
      <c r="AM3" s="301">
        <v>38</v>
      </c>
      <c r="AN3" s="301">
        <v>39</v>
      </c>
      <c r="AO3" s="301">
        <v>40</v>
      </c>
      <c r="AP3" s="301">
        <v>41</v>
      </c>
      <c r="AQ3" s="301">
        <v>42</v>
      </c>
      <c r="AR3" s="301">
        <v>43</v>
      </c>
      <c r="AS3" s="301">
        <v>44</v>
      </c>
      <c r="AT3" s="301">
        <v>45</v>
      </c>
      <c r="AU3" s="171" t="s">
        <v>70</v>
      </c>
      <c r="AV3" s="171" t="s">
        <v>50</v>
      </c>
      <c r="AW3" s="153" t="s">
        <v>27</v>
      </c>
    </row>
    <row r="4" spans="1:49" s="60" customFormat="1" ht="23.4">
      <c r="A4" s="425" t="s">
        <v>169</v>
      </c>
      <c r="B4" s="355">
        <v>40</v>
      </c>
      <c r="C4" s="402">
        <v>52.5</v>
      </c>
      <c r="D4" s="402">
        <v>62</v>
      </c>
      <c r="E4" s="402">
        <v>76.5</v>
      </c>
      <c r="F4" s="402">
        <v>85</v>
      </c>
      <c r="G4" s="402">
        <v>62.5</v>
      </c>
      <c r="H4" s="402">
        <v>72.5</v>
      </c>
      <c r="I4" s="402">
        <v>75</v>
      </c>
      <c r="J4" s="402">
        <v>74</v>
      </c>
      <c r="K4" s="402">
        <v>68</v>
      </c>
      <c r="L4" s="402">
        <v>60</v>
      </c>
      <c r="M4" s="402">
        <v>73</v>
      </c>
      <c r="N4" s="402">
        <v>85</v>
      </c>
      <c r="O4" s="402">
        <v>74.5</v>
      </c>
      <c r="P4" s="402">
        <v>70</v>
      </c>
      <c r="Q4" s="402">
        <v>71</v>
      </c>
      <c r="R4" s="402">
        <v>80</v>
      </c>
      <c r="S4" s="402">
        <v>87</v>
      </c>
      <c r="T4" s="402">
        <v>80</v>
      </c>
      <c r="U4" s="402">
        <v>80</v>
      </c>
      <c r="V4" s="402">
        <v>65</v>
      </c>
      <c r="W4" s="402">
        <v>87.5</v>
      </c>
      <c r="X4" s="402">
        <v>77.5</v>
      </c>
      <c r="Y4" s="402">
        <v>77.5</v>
      </c>
      <c r="Z4" s="402">
        <v>77.5</v>
      </c>
      <c r="AA4" s="402">
        <v>76</v>
      </c>
      <c r="AB4" s="402">
        <v>82</v>
      </c>
      <c r="AC4" s="402">
        <v>85.5</v>
      </c>
      <c r="AD4" s="402">
        <v>55</v>
      </c>
      <c r="AE4" s="402">
        <v>80</v>
      </c>
      <c r="AF4" s="348">
        <v>72.5</v>
      </c>
      <c r="AG4" s="402">
        <v>67.5</v>
      </c>
      <c r="AH4" s="402">
        <v>84.5</v>
      </c>
      <c r="AI4" s="402">
        <v>75</v>
      </c>
      <c r="AJ4" s="402">
        <v>63</v>
      </c>
      <c r="AK4" s="402">
        <v>80</v>
      </c>
      <c r="AL4" s="402">
        <v>66.5</v>
      </c>
      <c r="AM4" s="402">
        <v>63</v>
      </c>
      <c r="AN4" s="402">
        <v>78.5</v>
      </c>
      <c r="AO4" s="402"/>
      <c r="AP4" s="402"/>
      <c r="AQ4" s="402"/>
      <c r="AR4" s="402"/>
      <c r="AS4" s="402"/>
      <c r="AT4" s="402"/>
      <c r="AU4" s="460">
        <f>AVERAGE(B4:AT4)</f>
        <v>72.884615384615387</v>
      </c>
      <c r="AV4" s="459">
        <f>IF(AU4&lt;5,5,AU4)</f>
        <v>72.884615384615387</v>
      </c>
      <c r="AW4" s="458">
        <f t="shared" ref="AW4:AW15" si="0">RANK(AV4,$AV$4:$AV$16)</f>
        <v>3</v>
      </c>
    </row>
    <row r="5" spans="1:49" s="60" customFormat="1" ht="23.4">
      <c r="A5" s="426" t="s">
        <v>225</v>
      </c>
      <c r="B5" s="355">
        <v>35</v>
      </c>
      <c r="C5" s="402">
        <v>42.5</v>
      </c>
      <c r="D5" s="402">
        <v>43</v>
      </c>
      <c r="E5" s="402">
        <v>67</v>
      </c>
      <c r="F5" s="402">
        <v>59</v>
      </c>
      <c r="G5" s="402">
        <v>57.5</v>
      </c>
      <c r="H5" s="402">
        <v>65</v>
      </c>
      <c r="I5" s="402">
        <v>55</v>
      </c>
      <c r="J5" s="402">
        <v>52</v>
      </c>
      <c r="K5" s="402">
        <v>31.5</v>
      </c>
      <c r="L5" s="402">
        <v>53</v>
      </c>
      <c r="M5" s="402">
        <v>51</v>
      </c>
      <c r="N5" s="402">
        <v>55</v>
      </c>
      <c r="O5" s="402">
        <v>46</v>
      </c>
      <c r="P5" s="402">
        <v>37.5</v>
      </c>
      <c r="Q5" s="402">
        <v>41</v>
      </c>
      <c r="R5" s="402">
        <v>59</v>
      </c>
      <c r="S5" s="402">
        <v>75</v>
      </c>
      <c r="T5" s="402">
        <v>60</v>
      </c>
      <c r="U5" s="402">
        <v>44</v>
      </c>
      <c r="V5" s="402">
        <v>40</v>
      </c>
      <c r="W5" s="402">
        <v>75</v>
      </c>
      <c r="X5" s="402">
        <v>62.5</v>
      </c>
      <c r="Y5" s="402">
        <v>35</v>
      </c>
      <c r="Z5" s="402">
        <v>65</v>
      </c>
      <c r="AA5" s="402">
        <v>55</v>
      </c>
      <c r="AB5" s="402">
        <v>59</v>
      </c>
      <c r="AC5" s="402">
        <v>50</v>
      </c>
      <c r="AD5" s="402">
        <v>35</v>
      </c>
      <c r="AE5" s="402">
        <v>63</v>
      </c>
      <c r="AF5" s="348">
        <v>52.5</v>
      </c>
      <c r="AG5" s="402">
        <v>40</v>
      </c>
      <c r="AH5" s="402">
        <v>37.5</v>
      </c>
      <c r="AI5" s="402">
        <v>40</v>
      </c>
      <c r="AJ5" s="402">
        <v>45</v>
      </c>
      <c r="AK5" s="402">
        <v>75</v>
      </c>
      <c r="AL5" s="402">
        <v>47</v>
      </c>
      <c r="AM5" s="402">
        <v>47</v>
      </c>
      <c r="AN5" s="402">
        <v>31.5</v>
      </c>
      <c r="AO5" s="402"/>
      <c r="AP5" s="402"/>
      <c r="AQ5" s="402"/>
      <c r="AR5" s="402"/>
      <c r="AS5" s="402"/>
      <c r="AT5" s="402"/>
      <c r="AU5" s="460">
        <f t="shared" ref="AU5:AU16" si="1">AVERAGE(B5:AT5)</f>
        <v>50.871794871794869</v>
      </c>
      <c r="AV5" s="459">
        <f>IF(AU5&lt;5,5,AU5)</f>
        <v>50.871794871794869</v>
      </c>
      <c r="AW5" s="458">
        <f t="shared" si="0"/>
        <v>11</v>
      </c>
    </row>
    <row r="6" spans="1:49" s="154" customFormat="1" ht="23.4">
      <c r="A6" s="426" t="s">
        <v>228</v>
      </c>
      <c r="B6" s="355">
        <v>30</v>
      </c>
      <c r="C6" s="402">
        <v>65</v>
      </c>
      <c r="D6" s="402">
        <v>56</v>
      </c>
      <c r="E6" s="402">
        <v>67</v>
      </c>
      <c r="F6" s="402">
        <v>77.5</v>
      </c>
      <c r="G6" s="402">
        <v>67.5</v>
      </c>
      <c r="H6" s="402">
        <v>40</v>
      </c>
      <c r="I6" s="402">
        <v>62.5</v>
      </c>
      <c r="J6" s="402">
        <v>61</v>
      </c>
      <c r="K6" s="402">
        <v>37</v>
      </c>
      <c r="L6" s="402">
        <v>61</v>
      </c>
      <c r="M6" s="402">
        <v>69.5</v>
      </c>
      <c r="N6" s="402">
        <v>73</v>
      </c>
      <c r="O6" s="402">
        <v>70</v>
      </c>
      <c r="P6" s="402">
        <v>50</v>
      </c>
      <c r="Q6" s="402" t="s">
        <v>177</v>
      </c>
      <c r="R6" s="402">
        <v>56</v>
      </c>
      <c r="S6" s="402">
        <v>78</v>
      </c>
      <c r="T6" s="402">
        <v>62.5</v>
      </c>
      <c r="U6" s="402">
        <v>60.5</v>
      </c>
      <c r="V6" s="402">
        <v>60</v>
      </c>
      <c r="W6" s="402">
        <v>75</v>
      </c>
      <c r="X6" s="402">
        <v>70</v>
      </c>
      <c r="Y6" s="402">
        <v>50</v>
      </c>
      <c r="Z6" s="402">
        <v>77.5</v>
      </c>
      <c r="AA6" s="402">
        <v>77</v>
      </c>
      <c r="AB6" s="402">
        <v>67</v>
      </c>
      <c r="AC6" s="402">
        <v>67</v>
      </c>
      <c r="AD6" s="402">
        <v>77.5</v>
      </c>
      <c r="AE6" s="402">
        <v>57</v>
      </c>
      <c r="AF6" s="457">
        <v>67.5</v>
      </c>
      <c r="AG6" s="402">
        <v>67.5</v>
      </c>
      <c r="AH6" s="402">
        <v>77.5</v>
      </c>
      <c r="AI6" s="402">
        <v>71</v>
      </c>
      <c r="AJ6" s="402">
        <v>47</v>
      </c>
      <c r="AK6" s="402">
        <v>77.5</v>
      </c>
      <c r="AL6" s="402">
        <v>70.5</v>
      </c>
      <c r="AM6" s="402">
        <v>60</v>
      </c>
      <c r="AN6" s="402">
        <v>82</v>
      </c>
      <c r="AO6" s="402"/>
      <c r="AP6" s="402"/>
      <c r="AQ6" s="402"/>
      <c r="AR6" s="402"/>
      <c r="AS6" s="402"/>
      <c r="AT6" s="402"/>
      <c r="AU6" s="460">
        <f t="shared" si="1"/>
        <v>64.276315789473685</v>
      </c>
      <c r="AV6" s="459">
        <f t="shared" ref="AV6:AV16" si="2">IF(AU6&lt;5,5,AU6)</f>
        <v>64.276315789473685</v>
      </c>
      <c r="AW6" s="458">
        <f t="shared" si="0"/>
        <v>6</v>
      </c>
    </row>
    <row r="7" spans="1:49" s="60" customFormat="1" ht="23.4">
      <c r="A7" s="426" t="s">
        <v>227</v>
      </c>
      <c r="B7" s="355">
        <v>50</v>
      </c>
      <c r="C7" s="402">
        <v>80</v>
      </c>
      <c r="D7" s="402">
        <v>60</v>
      </c>
      <c r="E7" s="402">
        <v>76</v>
      </c>
      <c r="F7" s="402">
        <v>80.5</v>
      </c>
      <c r="G7" s="402">
        <v>55</v>
      </c>
      <c r="H7" s="402">
        <v>85</v>
      </c>
      <c r="I7" s="402">
        <v>65</v>
      </c>
      <c r="J7" s="402">
        <v>73</v>
      </c>
      <c r="K7" s="402">
        <v>47</v>
      </c>
      <c r="L7" s="402">
        <v>71</v>
      </c>
      <c r="M7" s="402">
        <v>67</v>
      </c>
      <c r="N7" s="402">
        <v>70</v>
      </c>
      <c r="O7" s="402">
        <v>87.5</v>
      </c>
      <c r="P7" s="402">
        <v>75</v>
      </c>
      <c r="Q7" s="402">
        <v>76</v>
      </c>
      <c r="R7" s="402">
        <v>64.5</v>
      </c>
      <c r="S7" s="402">
        <v>88</v>
      </c>
      <c r="T7" s="402" t="s">
        <v>44</v>
      </c>
      <c r="U7" s="402">
        <v>73</v>
      </c>
      <c r="V7" s="402">
        <v>60</v>
      </c>
      <c r="W7" s="402">
        <v>85</v>
      </c>
      <c r="X7" s="402">
        <v>92.5</v>
      </c>
      <c r="Y7" s="402">
        <v>77.5</v>
      </c>
      <c r="Z7" s="402">
        <v>75</v>
      </c>
      <c r="AA7" s="402">
        <v>68</v>
      </c>
      <c r="AB7" s="402">
        <v>78.5</v>
      </c>
      <c r="AC7" s="402">
        <v>80</v>
      </c>
      <c r="AD7" s="402">
        <v>80</v>
      </c>
      <c r="AE7" s="402">
        <v>75</v>
      </c>
      <c r="AF7" s="348">
        <v>85</v>
      </c>
      <c r="AG7" s="402">
        <v>45</v>
      </c>
      <c r="AH7" s="402">
        <v>70.5</v>
      </c>
      <c r="AI7" s="402">
        <v>65</v>
      </c>
      <c r="AJ7" s="402">
        <v>58.5</v>
      </c>
      <c r="AK7" s="402">
        <v>92.5</v>
      </c>
      <c r="AL7" s="402">
        <v>64.5</v>
      </c>
      <c r="AM7" s="402">
        <v>63</v>
      </c>
      <c r="AN7" s="402">
        <v>65.5</v>
      </c>
      <c r="AO7" s="402">
        <v>37.5</v>
      </c>
      <c r="AP7" s="402">
        <v>94.5</v>
      </c>
      <c r="AQ7" s="402"/>
      <c r="AR7" s="402"/>
      <c r="AS7" s="402"/>
      <c r="AT7" s="402"/>
      <c r="AU7" s="460">
        <f t="shared" si="1"/>
        <v>71.412499999999994</v>
      </c>
      <c r="AV7" s="459">
        <f t="shared" si="2"/>
        <v>71.412499999999994</v>
      </c>
      <c r="AW7" s="458">
        <f t="shared" si="0"/>
        <v>4</v>
      </c>
    </row>
    <row r="8" spans="1:49" s="60" customFormat="1" ht="23.4">
      <c r="A8" s="426" t="s">
        <v>201</v>
      </c>
      <c r="B8" s="402">
        <v>47.5</v>
      </c>
      <c r="C8" s="402">
        <v>60</v>
      </c>
      <c r="D8" s="402">
        <v>58</v>
      </c>
      <c r="E8" s="402">
        <v>63</v>
      </c>
      <c r="F8" s="402">
        <v>81</v>
      </c>
      <c r="G8" s="457">
        <v>62.5</v>
      </c>
      <c r="H8" s="402">
        <v>75</v>
      </c>
      <c r="I8" s="402">
        <v>70</v>
      </c>
      <c r="J8" s="402">
        <v>67</v>
      </c>
      <c r="K8" s="402">
        <v>62</v>
      </c>
      <c r="L8" s="402">
        <v>51</v>
      </c>
      <c r="M8" s="402">
        <v>75.5</v>
      </c>
      <c r="N8" s="402">
        <v>65</v>
      </c>
      <c r="O8" s="402">
        <v>73.5</v>
      </c>
      <c r="P8" s="402">
        <v>60</v>
      </c>
      <c r="Q8" s="402">
        <v>69</v>
      </c>
      <c r="R8" s="402">
        <v>65</v>
      </c>
      <c r="S8" s="402">
        <v>72</v>
      </c>
      <c r="T8" s="402">
        <v>60</v>
      </c>
      <c r="U8" s="402">
        <v>83</v>
      </c>
      <c r="V8" s="402">
        <v>60</v>
      </c>
      <c r="W8" s="402">
        <v>90</v>
      </c>
      <c r="X8" s="402">
        <v>60</v>
      </c>
      <c r="Y8" s="402" t="s">
        <v>177</v>
      </c>
      <c r="Z8" s="402">
        <v>70</v>
      </c>
      <c r="AA8" s="402">
        <v>75</v>
      </c>
      <c r="AB8" s="402">
        <v>67.5</v>
      </c>
      <c r="AC8" s="402">
        <v>68</v>
      </c>
      <c r="AD8" s="402">
        <v>90</v>
      </c>
      <c r="AE8" s="402">
        <v>62</v>
      </c>
      <c r="AF8" s="402">
        <v>65</v>
      </c>
      <c r="AG8" s="402">
        <v>37.5</v>
      </c>
      <c r="AH8" s="402">
        <v>59</v>
      </c>
      <c r="AI8" s="402">
        <v>69</v>
      </c>
      <c r="AJ8" s="402">
        <v>62.5</v>
      </c>
      <c r="AK8" s="402">
        <v>73</v>
      </c>
      <c r="AL8" s="402">
        <v>52.5</v>
      </c>
      <c r="AM8" s="402">
        <v>76</v>
      </c>
      <c r="AN8" s="402">
        <v>61.5</v>
      </c>
      <c r="AO8" s="402">
        <v>37.5</v>
      </c>
      <c r="AP8" s="402"/>
      <c r="AQ8" s="402"/>
      <c r="AR8" s="429"/>
      <c r="AS8" s="402"/>
      <c r="AT8" s="402"/>
      <c r="AU8" s="460">
        <f t="shared" si="1"/>
        <v>65.538461538461533</v>
      </c>
      <c r="AV8" s="459">
        <f t="shared" si="2"/>
        <v>65.538461538461533</v>
      </c>
      <c r="AW8" s="458">
        <f t="shared" si="0"/>
        <v>5</v>
      </c>
    </row>
    <row r="9" spans="1:49" s="249" customFormat="1" ht="23.4">
      <c r="A9" s="426" t="s">
        <v>202</v>
      </c>
      <c r="B9" s="402">
        <v>32.5</v>
      </c>
      <c r="C9" s="402">
        <v>60</v>
      </c>
      <c r="D9" s="402">
        <v>52</v>
      </c>
      <c r="E9" s="402">
        <v>65</v>
      </c>
      <c r="F9" s="402">
        <v>68.5</v>
      </c>
      <c r="G9" s="462">
        <v>47.5</v>
      </c>
      <c r="H9" s="402">
        <v>67.5</v>
      </c>
      <c r="I9" s="402">
        <v>42.5</v>
      </c>
      <c r="J9" s="402">
        <v>61</v>
      </c>
      <c r="K9" s="402">
        <v>46</v>
      </c>
      <c r="L9" s="402">
        <v>69</v>
      </c>
      <c r="M9" s="402">
        <v>62</v>
      </c>
      <c r="N9" s="402">
        <v>62</v>
      </c>
      <c r="O9" s="402">
        <v>66</v>
      </c>
      <c r="P9" s="402">
        <v>50</v>
      </c>
      <c r="Q9" s="402">
        <v>68</v>
      </c>
      <c r="R9" s="402">
        <v>69</v>
      </c>
      <c r="S9" s="402">
        <v>84</v>
      </c>
      <c r="T9" s="402">
        <v>50</v>
      </c>
      <c r="U9" s="402">
        <v>40.5</v>
      </c>
      <c r="V9" s="402">
        <v>47.5</v>
      </c>
      <c r="W9" s="402">
        <v>85</v>
      </c>
      <c r="X9" s="402">
        <v>60</v>
      </c>
      <c r="Y9" s="402">
        <v>52.5</v>
      </c>
      <c r="Z9" s="402">
        <v>70</v>
      </c>
      <c r="AA9" s="402">
        <v>65</v>
      </c>
      <c r="AB9" s="402">
        <v>77.5</v>
      </c>
      <c r="AC9" s="402">
        <v>74</v>
      </c>
      <c r="AD9" s="402">
        <v>67.5</v>
      </c>
      <c r="AE9" s="402">
        <v>74</v>
      </c>
      <c r="AF9" s="402">
        <v>60</v>
      </c>
      <c r="AG9" s="402">
        <v>57.5</v>
      </c>
      <c r="AH9" s="402">
        <v>60</v>
      </c>
      <c r="AI9" s="402">
        <v>61.5</v>
      </c>
      <c r="AJ9" s="402">
        <v>60.5</v>
      </c>
      <c r="AK9" s="402">
        <v>69</v>
      </c>
      <c r="AL9" s="402">
        <v>61</v>
      </c>
      <c r="AM9" s="402">
        <v>61</v>
      </c>
      <c r="AN9" s="402">
        <v>34</v>
      </c>
      <c r="AO9" s="402">
        <v>27.5</v>
      </c>
      <c r="AP9" s="402"/>
      <c r="AQ9" s="402">
        <v>69</v>
      </c>
      <c r="AR9" s="429"/>
      <c r="AS9" s="402"/>
      <c r="AT9" s="402"/>
      <c r="AU9" s="460">
        <f t="shared" si="1"/>
        <v>59.926829268292686</v>
      </c>
      <c r="AV9" s="459">
        <f t="shared" si="2"/>
        <v>59.926829268292686</v>
      </c>
      <c r="AW9" s="458">
        <f t="shared" si="0"/>
        <v>9</v>
      </c>
    </row>
    <row r="10" spans="1:49" s="60" customFormat="1" ht="18.75" customHeight="1">
      <c r="A10" s="426" t="s">
        <v>203</v>
      </c>
      <c r="B10" s="402">
        <v>42.5</v>
      </c>
      <c r="C10" s="402">
        <v>80</v>
      </c>
      <c r="D10" s="402">
        <v>69</v>
      </c>
      <c r="E10" s="402" t="s">
        <v>177</v>
      </c>
      <c r="F10" s="402">
        <v>73</v>
      </c>
      <c r="G10" s="457">
        <v>60</v>
      </c>
      <c r="H10" s="402">
        <v>72.5</v>
      </c>
      <c r="I10" s="402">
        <v>52.5</v>
      </c>
      <c r="J10" s="402">
        <v>62</v>
      </c>
      <c r="K10" s="402">
        <v>45</v>
      </c>
      <c r="L10" s="402">
        <v>66</v>
      </c>
      <c r="M10" s="402">
        <v>90.5</v>
      </c>
      <c r="N10" s="402">
        <v>92.5</v>
      </c>
      <c r="O10" s="402">
        <v>95</v>
      </c>
      <c r="P10" s="402">
        <v>75</v>
      </c>
      <c r="Q10" s="402">
        <v>73</v>
      </c>
      <c r="R10" s="402">
        <v>86</v>
      </c>
      <c r="S10" s="402">
        <v>93.5</v>
      </c>
      <c r="T10" s="402" t="s">
        <v>44</v>
      </c>
      <c r="U10" s="402">
        <v>72</v>
      </c>
      <c r="V10" s="402">
        <v>87.5</v>
      </c>
      <c r="W10" s="402">
        <v>82.5</v>
      </c>
      <c r="X10" s="402">
        <v>95</v>
      </c>
      <c r="Y10" s="402">
        <v>82.5</v>
      </c>
      <c r="Z10" s="402">
        <v>80</v>
      </c>
      <c r="AA10" s="402">
        <v>73</v>
      </c>
      <c r="AB10" s="402">
        <v>91</v>
      </c>
      <c r="AC10" s="402">
        <v>92</v>
      </c>
      <c r="AD10" s="402">
        <v>90</v>
      </c>
      <c r="AE10" s="402">
        <v>80</v>
      </c>
      <c r="AF10" s="402">
        <v>92.5</v>
      </c>
      <c r="AG10" s="402">
        <v>80</v>
      </c>
      <c r="AH10" s="402">
        <v>80</v>
      </c>
      <c r="AI10" s="402">
        <v>83</v>
      </c>
      <c r="AJ10" s="402">
        <v>75</v>
      </c>
      <c r="AK10" s="402">
        <v>80</v>
      </c>
      <c r="AL10" s="402">
        <v>74</v>
      </c>
      <c r="AM10" s="402" t="s">
        <v>44</v>
      </c>
      <c r="AN10" s="402">
        <v>94.5</v>
      </c>
      <c r="AO10" s="402">
        <v>82.5</v>
      </c>
      <c r="AP10" s="402">
        <v>94.5</v>
      </c>
      <c r="AQ10" s="402">
        <v>84</v>
      </c>
      <c r="AR10" s="429"/>
      <c r="AS10" s="402"/>
      <c r="AT10" s="402"/>
      <c r="AU10" s="460">
        <f t="shared" si="1"/>
        <v>78.807692307692307</v>
      </c>
      <c r="AV10" s="459">
        <f t="shared" si="2"/>
        <v>78.807692307692307</v>
      </c>
      <c r="AW10" s="458">
        <f t="shared" si="0"/>
        <v>2</v>
      </c>
    </row>
    <row r="11" spans="1:49" s="60" customFormat="1" ht="23.4">
      <c r="A11" s="426" t="s">
        <v>208</v>
      </c>
      <c r="B11" s="402">
        <v>25</v>
      </c>
      <c r="C11" s="402">
        <v>37.5</v>
      </c>
      <c r="D11" s="402">
        <v>41</v>
      </c>
      <c r="E11" s="402">
        <v>55</v>
      </c>
      <c r="F11" s="402">
        <v>57</v>
      </c>
      <c r="G11" s="457">
        <v>47.5</v>
      </c>
      <c r="H11" s="402">
        <v>45</v>
      </c>
      <c r="I11" s="402" t="s">
        <v>177</v>
      </c>
      <c r="J11" s="402">
        <v>42</v>
      </c>
      <c r="K11" s="402">
        <v>23</v>
      </c>
      <c r="L11" s="402">
        <v>46</v>
      </c>
      <c r="M11" s="402">
        <v>53</v>
      </c>
      <c r="N11" s="402">
        <v>55</v>
      </c>
      <c r="O11" s="402">
        <v>59</v>
      </c>
      <c r="P11" s="402">
        <v>37.5</v>
      </c>
      <c r="Q11" s="402">
        <v>56</v>
      </c>
      <c r="R11" s="402">
        <v>54</v>
      </c>
      <c r="S11" s="402">
        <v>75</v>
      </c>
      <c r="T11" s="402">
        <v>41.5</v>
      </c>
      <c r="U11" s="402">
        <v>42.5</v>
      </c>
      <c r="V11" s="402">
        <v>25</v>
      </c>
      <c r="W11" s="402" t="s">
        <v>44</v>
      </c>
      <c r="X11" s="402">
        <v>42.5</v>
      </c>
      <c r="Y11" s="402">
        <v>42.5</v>
      </c>
      <c r="Z11" s="402">
        <v>70</v>
      </c>
      <c r="AA11" s="402" t="s">
        <v>44</v>
      </c>
      <c r="AB11" s="402">
        <v>46</v>
      </c>
      <c r="AC11" s="402">
        <v>44</v>
      </c>
      <c r="AD11" s="402">
        <v>40</v>
      </c>
      <c r="AE11" s="402">
        <v>51</v>
      </c>
      <c r="AF11" s="402">
        <v>47.5</v>
      </c>
      <c r="AG11" s="402">
        <v>27.5</v>
      </c>
      <c r="AH11" s="402">
        <v>39.5</v>
      </c>
      <c r="AI11" s="402">
        <v>54</v>
      </c>
      <c r="AJ11" s="402">
        <v>46</v>
      </c>
      <c r="AK11" s="402">
        <v>72</v>
      </c>
      <c r="AL11" s="402">
        <v>46</v>
      </c>
      <c r="AM11" s="402">
        <v>59</v>
      </c>
      <c r="AN11" s="402">
        <v>23</v>
      </c>
      <c r="AO11" s="402">
        <v>35</v>
      </c>
      <c r="AP11" s="402"/>
      <c r="AQ11" s="402">
        <v>75</v>
      </c>
      <c r="AR11" s="429"/>
      <c r="AS11" s="402"/>
      <c r="AT11" s="402"/>
      <c r="AU11" s="460">
        <f t="shared" si="1"/>
        <v>46.789473684210527</v>
      </c>
      <c r="AV11" s="459">
        <f t="shared" si="2"/>
        <v>46.789473684210527</v>
      </c>
      <c r="AW11" s="458">
        <f t="shared" si="0"/>
        <v>12</v>
      </c>
    </row>
    <row r="12" spans="1:49" s="249" customFormat="1" ht="23.4">
      <c r="A12" s="426" t="s">
        <v>207</v>
      </c>
      <c r="B12" s="402">
        <v>32.5</v>
      </c>
      <c r="C12" s="402">
        <v>57.5</v>
      </c>
      <c r="D12" s="402">
        <v>53</v>
      </c>
      <c r="E12" s="402">
        <v>66</v>
      </c>
      <c r="F12" s="402">
        <v>80.5</v>
      </c>
      <c r="G12" s="462">
        <v>62</v>
      </c>
      <c r="H12" s="402">
        <v>42.5</v>
      </c>
      <c r="I12" s="402">
        <v>40</v>
      </c>
      <c r="J12" s="402">
        <v>52</v>
      </c>
      <c r="K12" s="402">
        <v>35</v>
      </c>
      <c r="L12" s="402">
        <v>64</v>
      </c>
      <c r="M12" s="402">
        <v>81</v>
      </c>
      <c r="N12" s="402">
        <v>77.5</v>
      </c>
      <c r="O12" s="402">
        <v>77</v>
      </c>
      <c r="P12" s="402">
        <v>50</v>
      </c>
      <c r="Q12" s="402">
        <v>56</v>
      </c>
      <c r="R12" s="402">
        <v>86.5</v>
      </c>
      <c r="S12" s="402">
        <v>85.5</v>
      </c>
      <c r="T12" s="402">
        <v>96</v>
      </c>
      <c r="U12" s="402">
        <v>44</v>
      </c>
      <c r="V12" s="402">
        <v>42.5</v>
      </c>
      <c r="W12" s="402" t="s">
        <v>44</v>
      </c>
      <c r="X12" s="402">
        <v>80</v>
      </c>
      <c r="Y12" s="402">
        <v>52.5</v>
      </c>
      <c r="Z12" s="402">
        <v>67.5</v>
      </c>
      <c r="AA12" s="402">
        <v>63</v>
      </c>
      <c r="AB12" s="402">
        <v>63</v>
      </c>
      <c r="AC12" s="402">
        <v>54</v>
      </c>
      <c r="AD12" s="402">
        <v>55</v>
      </c>
      <c r="AE12" s="402">
        <v>70</v>
      </c>
      <c r="AF12" s="402">
        <v>55</v>
      </c>
      <c r="AG12" s="402">
        <v>60</v>
      </c>
      <c r="AH12" s="402">
        <v>67</v>
      </c>
      <c r="AI12" s="402">
        <v>35</v>
      </c>
      <c r="AJ12" s="402">
        <v>64.5</v>
      </c>
      <c r="AK12" s="402">
        <v>75</v>
      </c>
      <c r="AL12" s="402">
        <v>58</v>
      </c>
      <c r="AM12" s="402">
        <v>71</v>
      </c>
      <c r="AN12" s="402">
        <v>46</v>
      </c>
      <c r="AO12" s="402">
        <v>75</v>
      </c>
      <c r="AP12" s="402"/>
      <c r="AQ12" s="402">
        <v>72</v>
      </c>
      <c r="AR12" s="429"/>
      <c r="AS12" s="402"/>
      <c r="AT12" s="402"/>
      <c r="AU12" s="460">
        <f t="shared" si="1"/>
        <v>61.612499999999997</v>
      </c>
      <c r="AV12" s="459">
        <f t="shared" si="2"/>
        <v>61.612499999999997</v>
      </c>
      <c r="AW12" s="458">
        <f t="shared" si="0"/>
        <v>8</v>
      </c>
    </row>
    <row r="13" spans="1:49" s="60" customFormat="1" ht="23.4">
      <c r="A13" s="426" t="s">
        <v>209</v>
      </c>
      <c r="B13" s="402">
        <v>18</v>
      </c>
      <c r="C13" s="402">
        <v>32.5</v>
      </c>
      <c r="D13" s="402">
        <v>46</v>
      </c>
      <c r="E13" s="402">
        <v>55</v>
      </c>
      <c r="F13" s="402">
        <v>55</v>
      </c>
      <c r="G13" s="457">
        <v>50</v>
      </c>
      <c r="H13" s="402">
        <v>25</v>
      </c>
      <c r="I13" s="402">
        <v>27.5</v>
      </c>
      <c r="J13" s="402">
        <v>43</v>
      </c>
      <c r="K13" s="402">
        <v>24</v>
      </c>
      <c r="L13" s="402">
        <v>30</v>
      </c>
      <c r="M13" s="402">
        <v>54</v>
      </c>
      <c r="N13" s="402">
        <v>55</v>
      </c>
      <c r="O13" s="402">
        <v>60</v>
      </c>
      <c r="P13" s="402">
        <v>30</v>
      </c>
      <c r="Q13" s="402">
        <v>45</v>
      </c>
      <c r="R13" s="402">
        <v>45</v>
      </c>
      <c r="S13" s="402">
        <v>63</v>
      </c>
      <c r="T13" s="402">
        <v>42.5</v>
      </c>
      <c r="U13" s="402">
        <v>36</v>
      </c>
      <c r="V13" s="402">
        <v>30</v>
      </c>
      <c r="W13" s="402" t="s">
        <v>44</v>
      </c>
      <c r="X13" s="402">
        <v>37.5</v>
      </c>
      <c r="Y13" s="402">
        <v>45</v>
      </c>
      <c r="Z13" s="402">
        <v>42.5</v>
      </c>
      <c r="AA13" s="402">
        <v>62</v>
      </c>
      <c r="AB13" s="402">
        <v>44</v>
      </c>
      <c r="AC13" s="402">
        <v>47</v>
      </c>
      <c r="AD13" s="402">
        <v>30</v>
      </c>
      <c r="AE13" s="402">
        <v>39</v>
      </c>
      <c r="AF13" s="402">
        <v>35</v>
      </c>
      <c r="AG13" s="402">
        <v>22.5</v>
      </c>
      <c r="AH13" s="402">
        <v>35</v>
      </c>
      <c r="AI13" s="402">
        <v>65.5</v>
      </c>
      <c r="AJ13" s="402">
        <v>35</v>
      </c>
      <c r="AK13" s="402">
        <v>62</v>
      </c>
      <c r="AL13" s="402">
        <v>53</v>
      </c>
      <c r="AM13" s="402">
        <v>66</v>
      </c>
      <c r="AN13" s="402" t="s">
        <v>234</v>
      </c>
      <c r="AO13" s="402">
        <v>35</v>
      </c>
      <c r="AP13" s="402"/>
      <c r="AQ13" s="402">
        <v>43</v>
      </c>
      <c r="AR13" s="429"/>
      <c r="AS13" s="402"/>
      <c r="AT13" s="402"/>
      <c r="AU13" s="460">
        <f t="shared" si="1"/>
        <v>42.705128205128204</v>
      </c>
      <c r="AV13" s="459">
        <f t="shared" si="2"/>
        <v>42.705128205128204</v>
      </c>
      <c r="AW13" s="458">
        <f t="shared" si="0"/>
        <v>13</v>
      </c>
    </row>
    <row r="14" spans="1:49" s="60" customFormat="1" ht="23.4">
      <c r="A14" s="426" t="s">
        <v>206</v>
      </c>
      <c r="B14" s="402">
        <v>35</v>
      </c>
      <c r="C14" s="402">
        <v>60</v>
      </c>
      <c r="D14" s="402">
        <v>36</v>
      </c>
      <c r="E14" s="402">
        <v>66</v>
      </c>
      <c r="F14" s="402">
        <v>59</v>
      </c>
      <c r="G14" s="457">
        <v>52.5</v>
      </c>
      <c r="H14" s="402">
        <v>70</v>
      </c>
      <c r="I14" s="402">
        <v>60</v>
      </c>
      <c r="J14" s="402">
        <v>46</v>
      </c>
      <c r="K14" s="402">
        <v>28</v>
      </c>
      <c r="L14" s="402">
        <v>41</v>
      </c>
      <c r="M14" s="402">
        <v>55</v>
      </c>
      <c r="N14" s="402">
        <v>57.5</v>
      </c>
      <c r="O14" s="402">
        <v>62</v>
      </c>
      <c r="P14" s="402">
        <v>52.5</v>
      </c>
      <c r="Q14" s="402">
        <v>46</v>
      </c>
      <c r="R14" s="402">
        <v>60</v>
      </c>
      <c r="S14" s="402">
        <v>83</v>
      </c>
      <c r="T14" s="402">
        <v>45</v>
      </c>
      <c r="U14" s="402">
        <v>34</v>
      </c>
      <c r="V14" s="402">
        <v>35</v>
      </c>
      <c r="W14" s="402">
        <v>82.5</v>
      </c>
      <c r="X14" s="402">
        <v>70</v>
      </c>
      <c r="Y14" s="402">
        <v>80</v>
      </c>
      <c r="Z14" s="402">
        <v>75</v>
      </c>
      <c r="AA14" s="402">
        <v>67</v>
      </c>
      <c r="AB14" s="402">
        <v>58.5</v>
      </c>
      <c r="AC14" s="402">
        <v>52</v>
      </c>
      <c r="AD14" s="402">
        <v>65</v>
      </c>
      <c r="AE14" s="464">
        <v>41</v>
      </c>
      <c r="AF14" s="402">
        <v>77.5</v>
      </c>
      <c r="AG14" s="402">
        <v>45</v>
      </c>
      <c r="AH14" s="402">
        <v>68</v>
      </c>
      <c r="AI14" s="402">
        <v>66.5</v>
      </c>
      <c r="AJ14" s="402">
        <v>43.5</v>
      </c>
      <c r="AK14" s="402">
        <v>72</v>
      </c>
      <c r="AL14" s="402">
        <v>59</v>
      </c>
      <c r="AM14" s="402">
        <v>62</v>
      </c>
      <c r="AN14" s="402">
        <v>61.5</v>
      </c>
      <c r="AO14" s="402">
        <v>40</v>
      </c>
      <c r="AP14" s="402"/>
      <c r="AQ14" s="402">
        <v>70</v>
      </c>
      <c r="AR14" s="402">
        <v>65</v>
      </c>
      <c r="AS14" s="402"/>
      <c r="AT14" s="402"/>
      <c r="AU14" s="460">
        <f t="shared" si="1"/>
        <v>57.25</v>
      </c>
      <c r="AV14" s="459">
        <f t="shared" si="2"/>
        <v>57.25</v>
      </c>
      <c r="AW14" s="458">
        <f t="shared" si="0"/>
        <v>10</v>
      </c>
    </row>
    <row r="15" spans="1:49" s="60" customFormat="1" ht="23.4">
      <c r="A15" s="426" t="s">
        <v>205</v>
      </c>
      <c r="B15" s="402">
        <v>35</v>
      </c>
      <c r="C15" s="402">
        <v>52.5</v>
      </c>
      <c r="D15" s="402">
        <v>56</v>
      </c>
      <c r="E15" s="402">
        <v>70</v>
      </c>
      <c r="F15" s="402">
        <v>73</v>
      </c>
      <c r="G15" s="457">
        <v>47.5</v>
      </c>
      <c r="H15" s="402">
        <v>65</v>
      </c>
      <c r="I15" s="402">
        <v>42.5</v>
      </c>
      <c r="J15" s="402">
        <v>65</v>
      </c>
      <c r="K15" s="402">
        <v>45</v>
      </c>
      <c r="L15" s="402">
        <v>55</v>
      </c>
      <c r="M15" s="402">
        <v>68</v>
      </c>
      <c r="N15" s="402">
        <v>53</v>
      </c>
      <c r="O15" s="402">
        <v>62</v>
      </c>
      <c r="P15" s="402">
        <v>47.5</v>
      </c>
      <c r="Q15" s="402">
        <v>67</v>
      </c>
      <c r="R15" s="402">
        <v>59</v>
      </c>
      <c r="S15" s="402">
        <v>91.5</v>
      </c>
      <c r="T15" s="402" t="s">
        <v>44</v>
      </c>
      <c r="U15" s="402">
        <v>53</v>
      </c>
      <c r="V15" s="402">
        <v>42.5</v>
      </c>
      <c r="W15" s="402">
        <v>92</v>
      </c>
      <c r="X15" s="402">
        <v>85</v>
      </c>
      <c r="Y15" s="402">
        <v>82.5</v>
      </c>
      <c r="Z15" s="402">
        <v>75</v>
      </c>
      <c r="AA15" s="402">
        <v>64</v>
      </c>
      <c r="AB15" s="402">
        <v>56</v>
      </c>
      <c r="AC15" s="402">
        <v>56</v>
      </c>
      <c r="AD15" s="402">
        <v>85</v>
      </c>
      <c r="AE15" s="402">
        <v>58</v>
      </c>
      <c r="AF15" s="402">
        <v>80</v>
      </c>
      <c r="AG15" s="402">
        <v>50</v>
      </c>
      <c r="AH15" s="402">
        <v>61</v>
      </c>
      <c r="AI15" s="402">
        <v>69</v>
      </c>
      <c r="AJ15" s="402">
        <v>51</v>
      </c>
      <c r="AK15" s="402">
        <v>67</v>
      </c>
      <c r="AL15" s="402">
        <v>56</v>
      </c>
      <c r="AM15" s="402">
        <v>63.5</v>
      </c>
      <c r="AN15" s="402">
        <v>63</v>
      </c>
      <c r="AO15" s="402">
        <v>50</v>
      </c>
      <c r="AP15" s="402">
        <v>65.5</v>
      </c>
      <c r="AQ15" s="402">
        <f>11+12+7.5+7.5+11+10+11+11</f>
        <v>81</v>
      </c>
      <c r="AR15" s="402">
        <v>71</v>
      </c>
      <c r="AS15" s="402"/>
      <c r="AT15" s="402"/>
      <c r="AU15" s="460">
        <f t="shared" si="1"/>
        <v>62.654761904761905</v>
      </c>
      <c r="AV15" s="459">
        <f t="shared" si="2"/>
        <v>62.654761904761905</v>
      </c>
      <c r="AW15" s="458">
        <f t="shared" si="0"/>
        <v>7</v>
      </c>
    </row>
    <row r="16" spans="1:49" s="154" customFormat="1" ht="23.4">
      <c r="A16" s="426" t="s">
        <v>204</v>
      </c>
      <c r="B16" s="454">
        <f>7.5+7.5+5+5+5+5+5+5</f>
        <v>45</v>
      </c>
      <c r="C16" s="454">
        <v>72.5</v>
      </c>
      <c r="D16" s="454">
        <v>61</v>
      </c>
      <c r="E16" s="454">
        <v>74</v>
      </c>
      <c r="F16" s="454">
        <v>78.5</v>
      </c>
      <c r="G16" s="457">
        <v>67.5</v>
      </c>
      <c r="H16" s="454">
        <v>82.5</v>
      </c>
      <c r="I16" s="454">
        <v>70</v>
      </c>
      <c r="J16" s="454">
        <v>73</v>
      </c>
      <c r="K16" s="454">
        <v>65</v>
      </c>
      <c r="L16" s="454">
        <v>80</v>
      </c>
      <c r="M16" s="454">
        <v>88</v>
      </c>
      <c r="N16" s="454">
        <v>87.5</v>
      </c>
      <c r="O16" s="454">
        <v>90</v>
      </c>
      <c r="P16" s="454">
        <v>92.5</v>
      </c>
      <c r="Q16" s="454">
        <v>88</v>
      </c>
      <c r="R16" s="454">
        <v>79</v>
      </c>
      <c r="S16" s="454">
        <v>96</v>
      </c>
      <c r="T16" s="454">
        <v>95.5</v>
      </c>
      <c r="U16" s="454">
        <v>84</v>
      </c>
      <c r="V16" s="454">
        <v>75</v>
      </c>
      <c r="W16" s="454">
        <v>95.5</v>
      </c>
      <c r="X16" s="463">
        <v>100</v>
      </c>
      <c r="Y16" s="454">
        <v>90</v>
      </c>
      <c r="Z16" s="454">
        <v>80</v>
      </c>
      <c r="AA16" s="454">
        <v>75</v>
      </c>
      <c r="AB16" s="454">
        <v>92</v>
      </c>
      <c r="AC16" s="454">
        <v>96</v>
      </c>
      <c r="AD16" s="454">
        <v>92.5</v>
      </c>
      <c r="AE16" s="454">
        <v>80.5</v>
      </c>
      <c r="AF16" s="454">
        <v>95</v>
      </c>
      <c r="AG16" s="454">
        <v>72.5</v>
      </c>
      <c r="AH16" s="454">
        <v>81</v>
      </c>
      <c r="AI16" s="454" t="s">
        <v>177</v>
      </c>
      <c r="AJ16" s="454">
        <v>76.5</v>
      </c>
      <c r="AK16" s="454">
        <v>78</v>
      </c>
      <c r="AL16" s="454">
        <v>85</v>
      </c>
      <c r="AM16" s="454">
        <v>90</v>
      </c>
      <c r="AN16" s="454">
        <v>92</v>
      </c>
      <c r="AO16" s="454">
        <v>72.5</v>
      </c>
      <c r="AP16" s="454"/>
      <c r="AQ16" s="454">
        <v>93</v>
      </c>
      <c r="AR16" s="454">
        <v>78</v>
      </c>
      <c r="AS16" s="454"/>
      <c r="AT16" s="454"/>
      <c r="AU16" s="460">
        <f t="shared" si="1"/>
        <v>81.939024390243901</v>
      </c>
      <c r="AV16" s="459">
        <f t="shared" si="2"/>
        <v>81.939024390243901</v>
      </c>
      <c r="AW16" s="458">
        <f>RANK(AV16,$AV$4:$AV$16)</f>
        <v>1</v>
      </c>
    </row>
    <row r="17" spans="2:48"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77"/>
      <c r="AV17" s="187"/>
    </row>
    <row r="18" spans="2:48">
      <c r="B18"/>
      <c r="AU18" s="278"/>
      <c r="AV18" s="284"/>
    </row>
    <row r="19" spans="2:48" ht="18" customHeight="1">
      <c r="B19" s="577"/>
      <c r="C19" s="577"/>
      <c r="D19" s="577"/>
      <c r="E19" s="578"/>
      <c r="F19" s="577"/>
      <c r="G19" s="576"/>
      <c r="H19" s="577"/>
      <c r="I19" s="577"/>
      <c r="J19" s="577"/>
      <c r="K19" s="577"/>
      <c r="L19" s="576"/>
      <c r="M19" s="577"/>
      <c r="N19" s="576"/>
      <c r="O19" s="579"/>
      <c r="P19" s="577"/>
      <c r="Q19" s="580"/>
      <c r="R19" s="577"/>
      <c r="S19" s="577"/>
      <c r="T19" s="577"/>
      <c r="U19" s="577"/>
      <c r="V19" s="577"/>
      <c r="W19" s="577"/>
      <c r="X19" s="577"/>
      <c r="Y19" s="577"/>
      <c r="Z19" s="577"/>
      <c r="AA19" s="576"/>
      <c r="AB19" s="577"/>
      <c r="AC19" s="577"/>
      <c r="AD19" s="577"/>
      <c r="AE19" s="583"/>
      <c r="AF19" s="576"/>
      <c r="AG19" s="577"/>
      <c r="AH19" s="577"/>
      <c r="AI19" s="577"/>
      <c r="AJ19" s="576"/>
      <c r="AK19" s="582"/>
      <c r="AL19" s="583"/>
      <c r="AM19" s="577"/>
      <c r="AN19" s="577"/>
      <c r="AO19" s="581"/>
      <c r="AP19" s="581"/>
      <c r="AQ19" s="581"/>
      <c r="AR19" s="581"/>
      <c r="AS19" s="581"/>
      <c r="AT19" s="581"/>
    </row>
    <row r="20" spans="2:48" ht="12.75" customHeight="1">
      <c r="B20" s="577"/>
      <c r="C20" s="577"/>
      <c r="D20" s="577"/>
      <c r="E20" s="578"/>
      <c r="F20" s="577"/>
      <c r="G20" s="576"/>
      <c r="H20" s="577"/>
      <c r="I20" s="577"/>
      <c r="J20" s="577"/>
      <c r="K20" s="577"/>
      <c r="L20" s="576"/>
      <c r="M20" s="577"/>
      <c r="N20" s="576"/>
      <c r="O20" s="579"/>
      <c r="P20" s="577"/>
      <c r="Q20" s="580"/>
      <c r="R20" s="577"/>
      <c r="S20" s="577"/>
      <c r="T20" s="577"/>
      <c r="U20" s="577"/>
      <c r="V20" s="577"/>
      <c r="W20" s="577"/>
      <c r="X20" s="577"/>
      <c r="Y20" s="577"/>
      <c r="Z20" s="577"/>
      <c r="AA20" s="576"/>
      <c r="AB20" s="577"/>
      <c r="AC20" s="577"/>
      <c r="AD20" s="577"/>
      <c r="AE20" s="583"/>
      <c r="AF20" s="576"/>
      <c r="AG20" s="577"/>
      <c r="AH20" s="577"/>
      <c r="AI20" s="577"/>
      <c r="AJ20" s="576"/>
      <c r="AK20" s="582"/>
      <c r="AL20" s="583"/>
      <c r="AM20" s="577"/>
      <c r="AN20" s="577"/>
      <c r="AO20" s="581"/>
      <c r="AP20" s="581"/>
      <c r="AQ20" s="581"/>
      <c r="AR20" s="581"/>
      <c r="AS20" s="581"/>
      <c r="AT20" s="581"/>
    </row>
    <row r="21" spans="2:48" ht="12.75" customHeight="1">
      <c r="B21" s="577"/>
      <c r="C21" s="577"/>
      <c r="D21" s="577"/>
      <c r="E21" s="578"/>
      <c r="F21" s="577"/>
      <c r="G21" s="576"/>
      <c r="H21" s="577"/>
      <c r="I21" s="577"/>
      <c r="J21" s="577"/>
      <c r="K21" s="577"/>
      <c r="L21" s="576"/>
      <c r="M21" s="577"/>
      <c r="N21" s="576"/>
      <c r="O21" s="579"/>
      <c r="P21" s="577"/>
      <c r="Q21" s="580"/>
      <c r="R21" s="577"/>
      <c r="S21" s="577"/>
      <c r="T21" s="577"/>
      <c r="U21" s="577"/>
      <c r="V21" s="577"/>
      <c r="W21" s="577"/>
      <c r="X21" s="577"/>
      <c r="Y21" s="577"/>
      <c r="Z21" s="577"/>
      <c r="AA21" s="576"/>
      <c r="AB21" s="577"/>
      <c r="AC21" s="577"/>
      <c r="AD21" s="577"/>
      <c r="AE21" s="583"/>
      <c r="AF21" s="576"/>
      <c r="AG21" s="577"/>
      <c r="AH21" s="577"/>
      <c r="AI21" s="577"/>
      <c r="AJ21" s="576"/>
      <c r="AK21" s="582"/>
      <c r="AL21" s="583"/>
      <c r="AM21" s="577"/>
      <c r="AN21" s="577"/>
      <c r="AO21" s="581"/>
      <c r="AP21" s="581"/>
      <c r="AQ21" s="581"/>
      <c r="AR21" s="581"/>
      <c r="AS21" s="581"/>
      <c r="AT21" s="581"/>
    </row>
    <row r="22" spans="2:48" ht="12.75" customHeight="1">
      <c r="B22" s="577"/>
      <c r="C22" s="577"/>
      <c r="D22" s="577"/>
      <c r="E22" s="578"/>
      <c r="F22" s="577"/>
      <c r="G22" s="576"/>
      <c r="H22" s="577"/>
      <c r="I22" s="577"/>
      <c r="J22" s="577"/>
      <c r="K22" s="577"/>
      <c r="L22" s="576"/>
      <c r="M22" s="577"/>
      <c r="N22" s="576"/>
      <c r="O22" s="579"/>
      <c r="P22" s="577"/>
      <c r="Q22" s="580"/>
      <c r="R22" s="577"/>
      <c r="S22" s="577"/>
      <c r="T22" s="577"/>
      <c r="U22" s="577"/>
      <c r="V22" s="577"/>
      <c r="W22" s="577"/>
      <c r="X22" s="577"/>
      <c r="Y22" s="577"/>
      <c r="Z22" s="577"/>
      <c r="AA22" s="576"/>
      <c r="AB22" s="577"/>
      <c r="AC22" s="577"/>
      <c r="AD22" s="577"/>
      <c r="AE22" s="583"/>
      <c r="AF22" s="576"/>
      <c r="AG22" s="577"/>
      <c r="AH22" s="577"/>
      <c r="AI22" s="577"/>
      <c r="AJ22" s="576"/>
      <c r="AK22" s="582"/>
      <c r="AL22" s="583"/>
      <c r="AM22" s="577"/>
      <c r="AN22" s="577"/>
      <c r="AO22" s="581"/>
      <c r="AP22" s="581"/>
      <c r="AQ22" s="581"/>
      <c r="AR22" s="581"/>
      <c r="AS22" s="581"/>
      <c r="AT22" s="581"/>
    </row>
    <row r="23" spans="2:48" ht="12.75" customHeight="1">
      <c r="B23" s="577"/>
      <c r="C23" s="577"/>
      <c r="D23" s="577"/>
      <c r="E23" s="578"/>
      <c r="F23" s="577"/>
      <c r="G23" s="576"/>
      <c r="H23" s="577"/>
      <c r="I23" s="577"/>
      <c r="J23" s="577"/>
      <c r="K23" s="577"/>
      <c r="L23" s="576"/>
      <c r="M23" s="577"/>
      <c r="N23" s="576"/>
      <c r="O23" s="579"/>
      <c r="P23" s="577"/>
      <c r="Q23" s="580"/>
      <c r="R23" s="577"/>
      <c r="S23" s="577"/>
      <c r="T23" s="577"/>
      <c r="U23" s="577"/>
      <c r="V23" s="577"/>
      <c r="W23" s="577"/>
      <c r="X23" s="577"/>
      <c r="Y23" s="577"/>
      <c r="Z23" s="577"/>
      <c r="AA23" s="576"/>
      <c r="AB23" s="577"/>
      <c r="AC23" s="577"/>
      <c r="AD23" s="577"/>
      <c r="AE23" s="583"/>
      <c r="AF23" s="576"/>
      <c r="AG23" s="577"/>
      <c r="AH23" s="577"/>
      <c r="AI23" s="577"/>
      <c r="AJ23" s="576"/>
      <c r="AK23" s="582"/>
      <c r="AL23" s="583"/>
      <c r="AM23" s="577"/>
      <c r="AN23" s="577"/>
      <c r="AO23" s="581"/>
      <c r="AP23" s="581"/>
      <c r="AQ23" s="581"/>
      <c r="AR23" s="581"/>
      <c r="AS23" s="581"/>
      <c r="AT23" s="581"/>
    </row>
    <row r="24" spans="2:48" ht="25.5" customHeight="1">
      <c r="B24" s="577"/>
      <c r="C24" s="577"/>
      <c r="D24" s="577"/>
      <c r="E24" s="578"/>
      <c r="F24" s="577"/>
      <c r="G24" s="576"/>
      <c r="H24" s="577"/>
      <c r="I24" s="577"/>
      <c r="J24" s="577"/>
      <c r="K24" s="577"/>
      <c r="L24" s="576"/>
      <c r="M24" s="577"/>
      <c r="N24" s="576"/>
      <c r="O24" s="579"/>
      <c r="P24" s="577"/>
      <c r="Q24" s="580"/>
      <c r="R24" s="577"/>
      <c r="S24" s="577"/>
      <c r="T24" s="577"/>
      <c r="U24" s="577"/>
      <c r="V24" s="577"/>
      <c r="W24" s="577"/>
      <c r="X24" s="577"/>
      <c r="Y24" s="577"/>
      <c r="Z24" s="577"/>
      <c r="AA24" s="576"/>
      <c r="AB24" s="577"/>
      <c r="AC24" s="577"/>
      <c r="AD24" s="577"/>
      <c r="AE24" s="583"/>
      <c r="AF24" s="576"/>
      <c r="AG24" s="577"/>
      <c r="AH24" s="577"/>
      <c r="AI24" s="577"/>
      <c r="AJ24" s="576"/>
      <c r="AK24" s="582"/>
      <c r="AL24" s="583"/>
      <c r="AM24" s="577"/>
      <c r="AN24" s="577"/>
      <c r="AO24" s="581"/>
      <c r="AP24" s="581"/>
      <c r="AQ24" s="581"/>
      <c r="AR24" s="581"/>
      <c r="AS24" s="581"/>
      <c r="AT24" s="581"/>
    </row>
    <row r="25" spans="2:48" ht="12.75" customHeight="1">
      <c r="B25" s="577"/>
      <c r="C25" s="577"/>
      <c r="D25" s="577"/>
      <c r="E25" s="578"/>
      <c r="F25" s="577"/>
      <c r="G25" s="576"/>
      <c r="H25" s="577"/>
      <c r="I25" s="577"/>
      <c r="J25" s="577"/>
      <c r="K25" s="577"/>
      <c r="L25" s="576"/>
      <c r="M25" s="577"/>
      <c r="N25" s="576"/>
      <c r="O25" s="579"/>
      <c r="P25" s="577"/>
      <c r="Q25" s="580"/>
      <c r="R25" s="577"/>
      <c r="S25" s="577"/>
      <c r="T25" s="577"/>
      <c r="U25" s="577"/>
      <c r="V25" s="577"/>
      <c r="W25" s="577"/>
      <c r="X25" s="577"/>
      <c r="Y25" s="577"/>
      <c r="Z25" s="577"/>
      <c r="AA25" s="576"/>
      <c r="AB25" s="577"/>
      <c r="AC25" s="577"/>
      <c r="AD25" s="577"/>
      <c r="AE25" s="583"/>
      <c r="AF25" s="576"/>
      <c r="AG25" s="577"/>
      <c r="AH25" s="577"/>
      <c r="AI25" s="577"/>
      <c r="AJ25" s="576"/>
      <c r="AK25" s="582"/>
      <c r="AL25" s="583"/>
      <c r="AM25" s="577"/>
      <c r="AN25" s="577"/>
      <c r="AO25" s="581"/>
      <c r="AP25" s="581"/>
      <c r="AQ25" s="581"/>
      <c r="AR25" s="581"/>
      <c r="AS25" s="581"/>
      <c r="AT25" s="581"/>
    </row>
    <row r="26" spans="2:48" ht="12.75" customHeight="1">
      <c r="B26" s="577"/>
      <c r="C26" s="577"/>
      <c r="D26" s="577"/>
      <c r="E26" s="578"/>
      <c r="F26" s="577"/>
      <c r="G26" s="576"/>
      <c r="H26" s="577"/>
      <c r="I26" s="577"/>
      <c r="J26" s="577"/>
      <c r="K26" s="577"/>
      <c r="L26" s="576"/>
      <c r="M26" s="577"/>
      <c r="N26" s="576"/>
      <c r="O26" s="579"/>
      <c r="P26" s="577"/>
      <c r="Q26" s="580"/>
      <c r="R26" s="577"/>
      <c r="S26" s="577"/>
      <c r="T26" s="577"/>
      <c r="U26" s="577"/>
      <c r="V26" s="577"/>
      <c r="W26" s="577"/>
      <c r="X26" s="577"/>
      <c r="Y26" s="577"/>
      <c r="Z26" s="577"/>
      <c r="AA26" s="576"/>
      <c r="AB26" s="577"/>
      <c r="AC26" s="577"/>
      <c r="AD26" s="577"/>
      <c r="AE26" s="583"/>
      <c r="AF26" s="576"/>
      <c r="AG26" s="577"/>
      <c r="AH26" s="577"/>
      <c r="AI26" s="577"/>
      <c r="AJ26" s="576"/>
      <c r="AK26" s="582"/>
      <c r="AL26" s="583"/>
      <c r="AM26" s="577"/>
      <c r="AN26" s="577"/>
      <c r="AO26" s="581"/>
      <c r="AP26" s="581"/>
      <c r="AQ26" s="581"/>
      <c r="AR26" s="581"/>
      <c r="AS26" s="581"/>
      <c r="AT26" s="581"/>
    </row>
    <row r="27" spans="2:48" ht="20.399999999999999">
      <c r="B27" s="461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D27" s="456"/>
      <c r="AE27" s="456"/>
      <c r="AF27" s="456"/>
      <c r="AG27" s="456"/>
      <c r="AH27" s="456"/>
      <c r="AI27" s="456"/>
      <c r="AJ27" s="456"/>
      <c r="AK27" s="456"/>
      <c r="AL27" s="456"/>
      <c r="AM27" s="456"/>
      <c r="AN27" s="456"/>
    </row>
    <row r="28" spans="2:48">
      <c r="F28" s="3"/>
    </row>
  </sheetData>
  <mergeCells count="45">
    <mergeCell ref="AE19:AE26"/>
    <mergeCell ref="AF19:AF26"/>
    <mergeCell ref="AG19:AG26"/>
    <mergeCell ref="AH19:AH26"/>
    <mergeCell ref="F19:F26"/>
    <mergeCell ref="Y19:Y26"/>
    <mergeCell ref="Z19:Z26"/>
    <mergeCell ref="AA19:AA26"/>
    <mergeCell ref="AB19:AB26"/>
    <mergeCell ref="AC19:AC26"/>
    <mergeCell ref="AD19:AD26"/>
    <mergeCell ref="S19:S26"/>
    <mergeCell ref="T19:T26"/>
    <mergeCell ref="U19:U26"/>
    <mergeCell ref="V19:V26"/>
    <mergeCell ref="W19:W26"/>
    <mergeCell ref="AS19:AS26"/>
    <mergeCell ref="AT19:AT26"/>
    <mergeCell ref="AI19:AI26"/>
    <mergeCell ref="AJ19:AJ26"/>
    <mergeCell ref="AK19:AK26"/>
    <mergeCell ref="AL19:AL26"/>
    <mergeCell ref="AP19:AP26"/>
    <mergeCell ref="AQ19:AQ26"/>
    <mergeCell ref="AR19:AR26"/>
    <mergeCell ref="AM19:AM26"/>
    <mergeCell ref="AN19:AN26"/>
    <mergeCell ref="AO19:AO26"/>
    <mergeCell ref="X19:X26"/>
    <mergeCell ref="M19:M26"/>
    <mergeCell ref="N19:N26"/>
    <mergeCell ref="O19:O26"/>
    <mergeCell ref="P19:P26"/>
    <mergeCell ref="Q19:Q26"/>
    <mergeCell ref="R19:R26"/>
    <mergeCell ref="L19:L26"/>
    <mergeCell ref="B19:B26"/>
    <mergeCell ref="C19:C26"/>
    <mergeCell ref="D19:D26"/>
    <mergeCell ref="G19:G26"/>
    <mergeCell ref="H19:H26"/>
    <mergeCell ref="I19:I26"/>
    <mergeCell ref="J19:J26"/>
    <mergeCell ref="K19:K26"/>
    <mergeCell ref="E19:E26"/>
  </mergeCells>
  <phoneticPr fontId="24" type="noConversion"/>
  <printOptions gridLines="1"/>
  <pageMargins left="0.21" right="0.2" top="1" bottom="1" header="0.5" footer="0.5"/>
  <pageSetup scale="49" orientation="landscape" horizontalDpi="4294967294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69"/>
  <sheetViews>
    <sheetView workbookViewId="0">
      <selection activeCell="E12" sqref="E12"/>
    </sheetView>
  </sheetViews>
  <sheetFormatPr defaultColWidth="8.88671875" defaultRowHeight="13.2"/>
  <cols>
    <col min="1" max="1" width="55.554687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10" ht="17.399999999999999">
      <c r="A1" s="366" t="s">
        <v>218</v>
      </c>
      <c r="B1" s="8"/>
      <c r="C1" s="6"/>
      <c r="D1" s="9"/>
      <c r="E1" s="412" t="s">
        <v>188</v>
      </c>
      <c r="F1" s="35"/>
      <c r="G1" s="6"/>
      <c r="H1" s="6"/>
    </row>
    <row r="2" spans="1:10" s="60" customFormat="1" ht="12.75" customHeight="1">
      <c r="A2" s="35"/>
      <c r="B2" s="35"/>
      <c r="C2" s="35"/>
      <c r="D2" s="174" t="s">
        <v>15</v>
      </c>
      <c r="E2" s="175">
        <f>MIN(D5:D17)</f>
        <v>5.32</v>
      </c>
      <c r="F2" s="35" t="s">
        <v>16</v>
      </c>
      <c r="G2" s="35"/>
      <c r="H2" s="35"/>
      <c r="I2" s="175">
        <f>MAX(H4:H16)</f>
        <v>52</v>
      </c>
    </row>
    <row r="3" spans="1:10">
      <c r="A3" s="190"/>
      <c r="B3" s="11"/>
      <c r="C3" s="12"/>
      <c r="D3" s="176" t="s">
        <v>76</v>
      </c>
      <c r="E3" s="175">
        <f>MAX(D5:D17)</f>
        <v>8.3800000000000008</v>
      </c>
      <c r="F3" s="225" t="s">
        <v>16</v>
      </c>
      <c r="G3" s="6"/>
      <c r="I3" s="175">
        <f>MIN(H6:H18)</f>
        <v>24</v>
      </c>
    </row>
    <row r="4" spans="1:10" ht="27" customHeight="1">
      <c r="A4" s="10"/>
      <c r="B4" s="36" t="s">
        <v>31</v>
      </c>
      <c r="C4" s="36" t="s">
        <v>32</v>
      </c>
      <c r="D4" s="36" t="s">
        <v>38</v>
      </c>
      <c r="E4" s="33" t="s">
        <v>9</v>
      </c>
      <c r="F4" s="5" t="s">
        <v>27</v>
      </c>
      <c r="G4" s="504" t="s">
        <v>243</v>
      </c>
      <c r="H4" s="504" t="s">
        <v>244</v>
      </c>
      <c r="I4" s="505" t="s">
        <v>245</v>
      </c>
      <c r="J4" s="5" t="s">
        <v>27</v>
      </c>
    </row>
    <row r="5" spans="1:10" ht="23.4">
      <c r="A5" s="426" t="s">
        <v>169</v>
      </c>
      <c r="B5" s="503"/>
      <c r="C5" s="503"/>
      <c r="D5" s="403"/>
      <c r="E5" s="228"/>
      <c r="F5" s="5"/>
      <c r="G5" s="506"/>
      <c r="H5" s="507"/>
      <c r="I5" s="403"/>
      <c r="J5" s="5"/>
    </row>
    <row r="6" spans="1:10" ht="23.4">
      <c r="A6" s="426" t="s">
        <v>225</v>
      </c>
      <c r="B6" s="503">
        <v>7.14</v>
      </c>
      <c r="C6" s="503">
        <v>6.34</v>
      </c>
      <c r="D6" s="403">
        <f t="shared" ref="D6:D17" si="0">MIN(B6:C6)</f>
        <v>6.34</v>
      </c>
      <c r="E6" s="228">
        <f>IF(D6&gt;=10,2.5,(-$D$21*D6+$D$22))</f>
        <v>33.333333333333329</v>
      </c>
      <c r="F6" s="5">
        <f>RANK(E6,$E$5:$E$17)</f>
        <v>6</v>
      </c>
      <c r="G6" s="506">
        <v>36</v>
      </c>
      <c r="H6" s="507">
        <v>37</v>
      </c>
      <c r="I6" s="512">
        <f>MAX(G6:H6)</f>
        <v>37</v>
      </c>
      <c r="J6" s="5">
        <f>RANK(I6,$I$5:$I$17)</f>
        <v>6</v>
      </c>
    </row>
    <row r="7" spans="1:10" ht="23.4">
      <c r="A7" s="426" t="s">
        <v>228</v>
      </c>
      <c r="B7" s="503">
        <v>7.8</v>
      </c>
      <c r="C7" s="503">
        <v>9.4</v>
      </c>
      <c r="D7" s="403">
        <f t="shared" si="0"/>
        <v>7.8</v>
      </c>
      <c r="E7" s="228">
        <f t="shared" ref="E7:E17" si="1">IF(D7&gt;=12,2.5,(-$D$21*D7+$D$22))</f>
        <v>9.4771241830065378</v>
      </c>
      <c r="F7" s="5">
        <f>RANK(E7,$E$5:$E$17)</f>
        <v>7</v>
      </c>
      <c r="G7" s="506">
        <v>27</v>
      </c>
      <c r="H7" s="507">
        <v>24</v>
      </c>
      <c r="I7" s="512">
        <f>MAX(G7:H7)</f>
        <v>27</v>
      </c>
      <c r="J7" s="5">
        <f>RANK(I7,$I$5:$I$17)</f>
        <v>8</v>
      </c>
    </row>
    <row r="8" spans="1:10" s="187" customFormat="1" ht="23.4">
      <c r="A8" s="426" t="s">
        <v>227</v>
      </c>
      <c r="B8" s="503"/>
      <c r="C8" s="503"/>
      <c r="D8" s="403"/>
      <c r="E8" s="228"/>
      <c r="F8" s="5"/>
      <c r="G8" s="506"/>
      <c r="H8" s="508"/>
      <c r="I8" s="512"/>
      <c r="J8" s="5"/>
    </row>
    <row r="9" spans="1:10" ht="23.4">
      <c r="A9" s="426" t="s">
        <v>201</v>
      </c>
      <c r="B9" s="503">
        <v>6.17</v>
      </c>
      <c r="C9" s="503">
        <v>6.01</v>
      </c>
      <c r="D9" s="403">
        <f t="shared" si="0"/>
        <v>6.01</v>
      </c>
      <c r="E9" s="228">
        <f t="shared" si="1"/>
        <v>38.725490196078425</v>
      </c>
      <c r="F9" s="5">
        <f t="shared" ref="F9:F17" si="2">RANK(E9,$E$5:$E$17)</f>
        <v>2</v>
      </c>
      <c r="G9" s="506">
        <v>48</v>
      </c>
      <c r="H9" s="507">
        <v>46</v>
      </c>
      <c r="I9" s="512">
        <f>MAX(G9:H9)</f>
        <v>48</v>
      </c>
      <c r="J9" s="5">
        <f>RANK(I9,$I$5:$I$17)</f>
        <v>4</v>
      </c>
    </row>
    <row r="10" spans="1:10" ht="23.4">
      <c r="A10" s="426" t="s">
        <v>202</v>
      </c>
      <c r="B10" s="503"/>
      <c r="C10" s="503"/>
      <c r="D10" s="403"/>
      <c r="E10" s="228"/>
      <c r="F10" s="5"/>
      <c r="G10" s="506"/>
      <c r="H10" s="507"/>
      <c r="I10" s="512"/>
      <c r="J10" s="5"/>
    </row>
    <row r="11" spans="1:10" ht="23.4">
      <c r="A11" s="426" t="s">
        <v>203</v>
      </c>
      <c r="B11" s="503">
        <v>5.32</v>
      </c>
      <c r="C11" s="503">
        <v>5.6</v>
      </c>
      <c r="D11" s="403">
        <f t="shared" si="0"/>
        <v>5.32</v>
      </c>
      <c r="E11" s="228">
        <f t="shared" si="1"/>
        <v>49.999999999999986</v>
      </c>
      <c r="F11" s="5">
        <f t="shared" si="2"/>
        <v>1</v>
      </c>
      <c r="G11" s="506">
        <v>52</v>
      </c>
      <c r="H11" s="507">
        <v>52</v>
      </c>
      <c r="I11" s="512">
        <f>MAX(G11:H11)</f>
        <v>52</v>
      </c>
      <c r="J11" s="5">
        <f>RANK(I11,$I$5:$I$17)</f>
        <v>2</v>
      </c>
    </row>
    <row r="12" spans="1:10" ht="23.4">
      <c r="A12" s="426" t="s">
        <v>208</v>
      </c>
      <c r="B12" s="503"/>
      <c r="C12" s="503"/>
      <c r="D12" s="403"/>
      <c r="E12" s="228"/>
      <c r="F12" s="5"/>
      <c r="G12" s="506"/>
      <c r="H12" s="507"/>
      <c r="I12" s="512"/>
      <c r="J12" s="5"/>
    </row>
    <row r="13" spans="1:10" ht="23.4">
      <c r="A13" s="426" t="s">
        <v>207</v>
      </c>
      <c r="B13" s="503">
        <v>8.58</v>
      </c>
      <c r="C13" s="503">
        <v>8.3800000000000008</v>
      </c>
      <c r="D13" s="403">
        <f t="shared" si="0"/>
        <v>8.3800000000000008</v>
      </c>
      <c r="E13" s="228">
        <f t="shared" si="1"/>
        <v>0</v>
      </c>
      <c r="F13" s="5">
        <f t="shared" si="2"/>
        <v>8</v>
      </c>
      <c r="G13" s="506">
        <v>31</v>
      </c>
      <c r="H13" s="507">
        <v>31</v>
      </c>
      <c r="I13" s="512">
        <f>MAX(G13:H13)</f>
        <v>31</v>
      </c>
      <c r="J13" s="5">
        <f>RANK(I13,$I$5:$I$17)</f>
        <v>7</v>
      </c>
    </row>
    <row r="14" spans="1:10" s="131" customFormat="1" ht="23.4">
      <c r="A14" s="426" t="s">
        <v>209</v>
      </c>
      <c r="B14" s="503"/>
      <c r="C14" s="503"/>
      <c r="D14" s="403"/>
      <c r="E14" s="228"/>
      <c r="F14" s="5"/>
      <c r="G14" s="506"/>
      <c r="H14" s="509"/>
      <c r="I14" s="512"/>
      <c r="J14" s="5"/>
    </row>
    <row r="15" spans="1:10" s="131" customFormat="1" ht="23.4">
      <c r="A15" s="426" t="s">
        <v>206</v>
      </c>
      <c r="B15" s="503">
        <v>6.32</v>
      </c>
      <c r="C15" s="503">
        <v>6.15</v>
      </c>
      <c r="D15" s="403">
        <f t="shared" si="0"/>
        <v>6.15</v>
      </c>
      <c r="E15" s="228">
        <f t="shared" si="1"/>
        <v>36.437908496732021</v>
      </c>
      <c r="F15" s="5">
        <f t="shared" si="2"/>
        <v>5</v>
      </c>
      <c r="G15" s="506">
        <v>49</v>
      </c>
      <c r="H15" s="511">
        <v>44</v>
      </c>
      <c r="I15" s="512">
        <f t="shared" ref="I15:I17" si="3">MAX(G15:H15)</f>
        <v>49</v>
      </c>
      <c r="J15" s="5">
        <f t="shared" ref="J15:J17" si="4">RANK(I15,$I$5:$I$17)</f>
        <v>3</v>
      </c>
    </row>
    <row r="16" spans="1:10" s="131" customFormat="1" ht="23.4">
      <c r="A16" s="426" t="s">
        <v>205</v>
      </c>
      <c r="B16" s="503">
        <v>6.48</v>
      </c>
      <c r="C16" s="503">
        <v>6.07</v>
      </c>
      <c r="D16" s="403">
        <f t="shared" si="0"/>
        <v>6.07</v>
      </c>
      <c r="E16" s="228">
        <f t="shared" si="1"/>
        <v>37.745098039215677</v>
      </c>
      <c r="F16" s="5">
        <f t="shared" si="2"/>
        <v>4</v>
      </c>
      <c r="G16" s="506">
        <v>53</v>
      </c>
      <c r="H16" s="511">
        <v>52</v>
      </c>
      <c r="I16" s="512">
        <f t="shared" si="3"/>
        <v>53</v>
      </c>
      <c r="J16" s="5">
        <f t="shared" si="4"/>
        <v>1</v>
      </c>
    </row>
    <row r="17" spans="1:10" ht="23.4">
      <c r="A17" s="426" t="s">
        <v>204</v>
      </c>
      <c r="B17" s="503">
        <v>6.03</v>
      </c>
      <c r="C17" s="503">
        <v>6.83</v>
      </c>
      <c r="D17" s="403">
        <f t="shared" si="0"/>
        <v>6.03</v>
      </c>
      <c r="E17" s="228">
        <f t="shared" si="1"/>
        <v>38.398692810457504</v>
      </c>
      <c r="F17" s="5">
        <f t="shared" si="2"/>
        <v>3</v>
      </c>
      <c r="G17" s="506">
        <v>47</v>
      </c>
      <c r="H17" s="510">
        <v>46</v>
      </c>
      <c r="I17" s="512">
        <f t="shared" si="3"/>
        <v>47</v>
      </c>
      <c r="J17" s="5">
        <f t="shared" si="4"/>
        <v>5</v>
      </c>
    </row>
    <row r="18" spans="1:10">
      <c r="A18" s="24"/>
      <c r="B18" s="52"/>
      <c r="C18" s="52"/>
      <c r="D18" s="52"/>
      <c r="E18" s="18"/>
      <c r="F18" s="18"/>
      <c r="G18" s="18"/>
      <c r="H18" s="3"/>
    </row>
    <row r="19" spans="1:10">
      <c r="A19" s="24"/>
      <c r="B19" s="52"/>
      <c r="C19" s="127"/>
      <c r="D19" s="52"/>
      <c r="E19" s="18"/>
      <c r="F19" s="18"/>
      <c r="G19" s="18"/>
      <c r="H19" s="3"/>
    </row>
    <row r="20" spans="1:10">
      <c r="A20" s="24"/>
      <c r="B20" s="52"/>
      <c r="C20" s="239" t="s">
        <v>136</v>
      </c>
      <c r="D20" s="52"/>
      <c r="E20" s="18"/>
      <c r="F20" s="18"/>
      <c r="G20" s="18"/>
      <c r="H20" s="3"/>
    </row>
    <row r="21" spans="1:10">
      <c r="A21" s="24"/>
      <c r="B21" s="52"/>
      <c r="C21" s="281" t="s">
        <v>133</v>
      </c>
      <c r="D21" s="279">
        <f>50/(E3-E2)</f>
        <v>16.33986928104575</v>
      </c>
      <c r="E21" s="18"/>
      <c r="F21" s="18"/>
      <c r="G21" s="18"/>
      <c r="H21" s="3"/>
    </row>
    <row r="22" spans="1:10">
      <c r="A22" s="24"/>
      <c r="B22" s="52"/>
      <c r="C22" s="281" t="s">
        <v>134</v>
      </c>
      <c r="D22" s="280">
        <f>D21*E3</f>
        <v>136.92810457516339</v>
      </c>
      <c r="E22" s="18"/>
      <c r="F22" s="18"/>
      <c r="G22" s="18"/>
      <c r="H22" s="3"/>
    </row>
    <row r="23" spans="1:10">
      <c r="A23" s="24"/>
      <c r="C23" s="281" t="s">
        <v>189</v>
      </c>
      <c r="D23" s="52"/>
      <c r="E23" s="18"/>
      <c r="F23" s="18"/>
      <c r="G23" s="18"/>
      <c r="H23" s="3"/>
    </row>
    <row r="24" spans="1:10">
      <c r="A24" s="24"/>
      <c r="B24" s="52"/>
      <c r="C24" s="52"/>
      <c r="D24" s="52"/>
      <c r="E24" s="18"/>
      <c r="F24" s="18"/>
      <c r="G24" s="18"/>
      <c r="H24" s="3"/>
    </row>
    <row r="25" spans="1:10">
      <c r="A25" s="24"/>
      <c r="B25" s="52"/>
      <c r="C25" s="52"/>
      <c r="D25" s="52"/>
      <c r="E25" s="18"/>
      <c r="F25" s="18"/>
      <c r="G25" s="18"/>
      <c r="H25" s="3"/>
    </row>
    <row r="26" spans="1:10">
      <c r="A26" s="24"/>
      <c r="B26" s="52"/>
      <c r="C26" s="52"/>
      <c r="D26" s="52"/>
      <c r="E26" s="18"/>
      <c r="F26" s="18"/>
      <c r="G26" s="18"/>
      <c r="H26" s="3"/>
    </row>
    <row r="27" spans="1:10">
      <c r="A27" s="24"/>
      <c r="B27" s="52"/>
      <c r="C27" s="52"/>
      <c r="D27" s="52"/>
      <c r="E27" s="18"/>
      <c r="F27" s="18"/>
      <c r="G27" s="18"/>
      <c r="H27" s="3"/>
    </row>
    <row r="28" spans="1:10">
      <c r="A28" s="24"/>
      <c r="B28" s="52"/>
      <c r="C28" s="52"/>
      <c r="D28" s="52"/>
      <c r="E28" s="18"/>
      <c r="F28" s="18"/>
      <c r="G28" s="18"/>
      <c r="H28" s="6"/>
    </row>
    <row r="29" spans="1:10">
      <c r="A29" s="24"/>
      <c r="B29" s="52"/>
      <c r="C29" s="52"/>
      <c r="D29" s="52"/>
      <c r="E29" s="18"/>
      <c r="F29" s="18"/>
      <c r="G29" s="18"/>
      <c r="H29" s="6"/>
    </row>
    <row r="30" spans="1:10">
      <c r="A30" s="12"/>
      <c r="B30" s="52"/>
      <c r="C30" s="52"/>
      <c r="D30" s="52"/>
      <c r="E30" s="18"/>
      <c r="F30" s="18"/>
      <c r="G30" s="18"/>
      <c r="H30" s="6"/>
    </row>
    <row r="31" spans="1:10">
      <c r="A31" s="12"/>
      <c r="B31" s="52"/>
      <c r="C31" s="52"/>
      <c r="D31" s="52"/>
      <c r="E31" s="18"/>
      <c r="F31" s="18"/>
      <c r="G31" s="18"/>
      <c r="H31" s="6"/>
    </row>
    <row r="32" spans="1:10">
      <c r="A32" s="12"/>
      <c r="B32" s="52"/>
      <c r="C32" s="52"/>
      <c r="D32" s="52"/>
      <c r="E32" s="18"/>
      <c r="F32" s="18"/>
      <c r="G32" s="18"/>
      <c r="H32" s="6"/>
    </row>
    <row r="33" spans="1:8">
      <c r="A33" s="47"/>
      <c r="B33" s="12"/>
      <c r="C33" s="12"/>
      <c r="D33" s="12"/>
      <c r="E33" s="6"/>
      <c r="F33" s="6"/>
      <c r="G33" s="6"/>
      <c r="H33" s="6"/>
    </row>
    <row r="34" spans="1:8">
      <c r="B34" s="4"/>
      <c r="C34" s="4"/>
      <c r="D34" s="4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</sheetData>
  <phoneticPr fontId="24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2017-03-11T16:06:47Z</cp:lastPrinted>
  <dcterms:created xsi:type="dcterms:W3CDTF">2000-03-12T02:15:03Z</dcterms:created>
  <dcterms:modified xsi:type="dcterms:W3CDTF">2017-03-22T18:25:23Z</dcterms:modified>
</cp:coreProperties>
</file>