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4260" windowWidth="16608" windowHeight="432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Drawbar Pull" sheetId="11" r:id="rId13"/>
    <sheet name="Penalties and Bonuses" sheetId="12" r:id="rId14"/>
    <sheet name="Vehicle Weights" sheetId="15" r:id="rId15"/>
  </sheets>
  <definedNames>
    <definedName name="Bmax">'Lab Emissions'!$N$8</definedName>
    <definedName name="Bmin">'Lab Emissions'!$N$7</definedName>
    <definedName name="Emax">'Lab Emissions'!$J$8</definedName>
    <definedName name="Emin">'Lab Emissions'!$J$7</definedName>
    <definedName name="_xlnm.Print_Area" localSheetId="0">'Totals and Awards'!$A$1:$M$44</definedName>
  </definedNames>
  <calcPr calcId="125725"/>
</workbook>
</file>

<file path=xl/calcChain.xml><?xml version="1.0" encoding="utf-8"?>
<calcChain xmlns="http://schemas.openxmlformats.org/spreadsheetml/2006/main">
  <c r="H7" i="19"/>
  <c r="C7"/>
  <c r="L5" i="13"/>
  <c r="L6"/>
  <c r="L7"/>
  <c r="L8"/>
  <c r="L9"/>
  <c r="L4"/>
  <c r="H7" i="11"/>
  <c r="H8"/>
  <c r="H9"/>
  <c r="H6"/>
  <c r="F16"/>
  <c r="F15"/>
  <c r="F2"/>
  <c r="F3"/>
  <c r="E6" i="7" l="1"/>
  <c r="E7"/>
  <c r="E8"/>
  <c r="E5"/>
  <c r="K8" i="19" l="1"/>
  <c r="I8" i="7" l="1"/>
  <c r="I5"/>
  <c r="I7"/>
  <c r="J7" s="1"/>
  <c r="I6"/>
  <c r="E3"/>
  <c r="J8" l="1"/>
  <c r="J6"/>
  <c r="J5"/>
  <c r="R6" i="18" l="1"/>
  <c r="R7"/>
  <c r="R8"/>
  <c r="E3" i="4" l="1"/>
  <c r="E12" i="6"/>
  <c r="E11"/>
  <c r="D13" i="4" l="1"/>
  <c r="D12"/>
  <c r="D11"/>
  <c r="D10"/>
  <c r="G9" i="11" l="1"/>
  <c r="F9"/>
  <c r="G8"/>
  <c r="F8"/>
  <c r="G7"/>
  <c r="F7"/>
  <c r="G6"/>
  <c r="F6"/>
  <c r="C8" i="6" l="1"/>
  <c r="C7"/>
  <c r="C6"/>
  <c r="C5"/>
  <c r="M8" i="13" l="1"/>
  <c r="M9"/>
  <c r="E7" i="15"/>
  <c r="H7" s="1"/>
  <c r="E6"/>
  <c r="H6" s="1"/>
  <c r="E5"/>
  <c r="J5" i="12"/>
  <c r="M5" i="13" s="1"/>
  <c r="J6" i="12"/>
  <c r="M6" i="13" s="1"/>
  <c r="J7" i="12"/>
  <c r="M7" i="13" s="1"/>
  <c r="J8" i="12"/>
  <c r="J9"/>
  <c r="J4"/>
  <c r="H8" i="15" l="1"/>
  <c r="H9"/>
  <c r="F1"/>
  <c r="F2"/>
  <c r="H4"/>
  <c r="H5"/>
  <c r="I5" i="13" l="1"/>
  <c r="I6"/>
  <c r="I7"/>
  <c r="I8"/>
  <c r="I9"/>
  <c r="C6" i="10"/>
  <c r="K6" i="13" s="1"/>
  <c r="C7" i="10"/>
  <c r="K7" i="13" s="1"/>
  <c r="C8" i="10"/>
  <c r="K8" i="13" s="1"/>
  <c r="C9" i="10"/>
  <c r="K9" i="13" s="1"/>
  <c r="C5" i="10"/>
  <c r="K5" i="13" s="1"/>
  <c r="C4" i="10"/>
  <c r="H9" i="19"/>
  <c r="F1"/>
  <c r="J11" i="18"/>
  <c r="R5"/>
  <c r="D7" i="7"/>
  <c r="D8"/>
  <c r="D6"/>
  <c r="D5"/>
  <c r="Q5" i="14"/>
  <c r="R5" s="1"/>
  <c r="Q6"/>
  <c r="R6" s="1"/>
  <c r="Q7"/>
  <c r="R7" s="1"/>
  <c r="Q8"/>
  <c r="R8" s="1"/>
  <c r="Q9"/>
  <c r="R9" s="1"/>
  <c r="S9" s="1"/>
  <c r="AK9" i="5"/>
  <c r="AL9" s="1"/>
  <c r="AK8"/>
  <c r="AL8" s="1"/>
  <c r="F8" i="13" s="1"/>
  <c r="AK7" i="5"/>
  <c r="AL7" s="1"/>
  <c r="F7" i="13" s="1"/>
  <c r="AK6" i="5"/>
  <c r="AL6" s="1"/>
  <c r="F6" i="13" s="1"/>
  <c r="AK5" i="5"/>
  <c r="AL5" s="1"/>
  <c r="F5" i="13" s="1"/>
  <c r="AK4" i="5"/>
  <c r="AL4" s="1"/>
  <c r="B20" i="6"/>
  <c r="E2" i="4"/>
  <c r="E6" s="1"/>
  <c r="Q4" i="14"/>
  <c r="R4" s="1"/>
  <c r="B21" i="3"/>
  <c r="B18" s="1"/>
  <c r="B20"/>
  <c r="C5" i="13"/>
  <c r="C6"/>
  <c r="C7"/>
  <c r="C8"/>
  <c r="C9"/>
  <c r="F70" i="1"/>
  <c r="D70"/>
  <c r="F67"/>
  <c r="F68" s="1"/>
  <c r="B7" i="13" s="1"/>
  <c r="D67" i="1"/>
  <c r="D68" s="1"/>
  <c r="B5" i="13" s="1"/>
  <c r="I65" i="1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"/>
  <c r="H67" s="1"/>
  <c r="H68" s="1"/>
  <c r="B9" i="13" s="1"/>
  <c r="G5" i="1"/>
  <c r="G67" s="1"/>
  <c r="G68" s="1"/>
  <c r="B8" i="13" s="1"/>
  <c r="E5" i="1"/>
  <c r="E70" s="1"/>
  <c r="C5"/>
  <c r="C70" s="1"/>
  <c r="I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I3"/>
  <c r="J2" i="19" l="1"/>
  <c r="J1"/>
  <c r="E2" i="7"/>
  <c r="D14" s="1"/>
  <c r="D15" s="1"/>
  <c r="H5" i="13"/>
  <c r="AM9" i="5"/>
  <c r="F9" i="13"/>
  <c r="E13" i="6"/>
  <c r="S8" i="14"/>
  <c r="S7"/>
  <c r="S6"/>
  <c r="S5"/>
  <c r="S4"/>
  <c r="AM8" i="5"/>
  <c r="AM7"/>
  <c r="AM6"/>
  <c r="AM5"/>
  <c r="AM4"/>
  <c r="C20" i="6"/>
  <c r="B21"/>
  <c r="E7" i="4"/>
  <c r="B19" i="3"/>
  <c r="E8" s="1"/>
  <c r="L8" s="1"/>
  <c r="C67" i="1"/>
  <c r="C68" s="1"/>
  <c r="G70"/>
  <c r="H70"/>
  <c r="I5"/>
  <c r="E67"/>
  <c r="E68" s="1"/>
  <c r="B6" i="13" s="1"/>
  <c r="F14" i="19" l="1"/>
  <c r="C9"/>
  <c r="D9" s="1"/>
  <c r="H8" i="13"/>
  <c r="H7"/>
  <c r="H9"/>
  <c r="H6"/>
  <c r="F7" i="7"/>
  <c r="E14" i="6"/>
  <c r="F5" s="1"/>
  <c r="G5" s="1"/>
  <c r="F6"/>
  <c r="F7"/>
  <c r="G7" s="1"/>
  <c r="F8"/>
  <c r="G8" s="1"/>
  <c r="G10"/>
  <c r="E9" i="13"/>
  <c r="E12" i="4"/>
  <c r="F12" s="1"/>
  <c r="D5" i="13"/>
  <c r="E10" i="3"/>
  <c r="L10" s="1"/>
  <c r="E9"/>
  <c r="L9" s="1"/>
  <c r="E12"/>
  <c r="L12" s="1"/>
  <c r="E11"/>
  <c r="L11" s="1"/>
  <c r="G6" i="6"/>
  <c r="E71" i="1"/>
  <c r="B22" i="6"/>
  <c r="C21"/>
  <c r="E10" i="4"/>
  <c r="E13"/>
  <c r="F13" s="1"/>
  <c r="E11"/>
  <c r="F11" s="1"/>
  <c r="E7" i="3"/>
  <c r="L7" s="1"/>
  <c r="C71" i="1"/>
  <c r="H71"/>
  <c r="G71"/>
  <c r="F71"/>
  <c r="D71"/>
  <c r="F15" i="19" l="1"/>
  <c r="I9" s="1"/>
  <c r="J9" i="13"/>
  <c r="J8"/>
  <c r="J6"/>
  <c r="D8" i="19"/>
  <c r="F8" i="7"/>
  <c r="F5"/>
  <c r="F6"/>
  <c r="F10" i="4"/>
  <c r="H6" i="6"/>
  <c r="G8" i="13"/>
  <c r="H8" i="6"/>
  <c r="G7" i="13"/>
  <c r="H7" i="6"/>
  <c r="G6" i="13"/>
  <c r="H10" i="6"/>
  <c r="G9" i="13"/>
  <c r="H5" i="6"/>
  <c r="E5" i="13"/>
  <c r="E6"/>
  <c r="E7"/>
  <c r="E8"/>
  <c r="M7" i="3"/>
  <c r="M10"/>
  <c r="D7" i="13"/>
  <c r="M8" i="3"/>
  <c r="M11"/>
  <c r="D8" i="13"/>
  <c r="M12" i="3"/>
  <c r="D9" i="13"/>
  <c r="M9" i="3"/>
  <c r="D6" i="13"/>
  <c r="N6" s="1"/>
  <c r="G5"/>
  <c r="B23" i="6"/>
  <c r="C22"/>
  <c r="C4" i="13"/>
  <c r="K4"/>
  <c r="M4"/>
  <c r="I4"/>
  <c r="B4"/>
  <c r="N9" l="1"/>
  <c r="N8"/>
  <c r="I7" i="19"/>
  <c r="J9"/>
  <c r="K9"/>
  <c r="J7" i="13"/>
  <c r="N7" s="1"/>
  <c r="F16"/>
  <c r="F18"/>
  <c r="F19"/>
  <c r="C17"/>
  <c r="C18"/>
  <c r="C16"/>
  <c r="C15"/>
  <c r="B24" i="6"/>
  <c r="C23"/>
  <c r="D4" i="13"/>
  <c r="F4"/>
  <c r="K7" i="19" l="1"/>
  <c r="J7"/>
  <c r="J5" i="13"/>
  <c r="F17"/>
  <c r="K6" i="19"/>
  <c r="B25" i="6"/>
  <c r="C24"/>
  <c r="N5" i="13" l="1"/>
  <c r="F15"/>
  <c r="B26" i="6"/>
  <c r="C25"/>
  <c r="H4" i="13"/>
  <c r="E4"/>
  <c r="C19" l="1"/>
  <c r="B27" i="6"/>
  <c r="C26"/>
  <c r="J4" i="13"/>
  <c r="B28" i="6" l="1"/>
  <c r="C27"/>
  <c r="B29" l="1"/>
  <c r="C28"/>
  <c r="B30" l="1"/>
  <c r="C29"/>
  <c r="B31" l="1"/>
  <c r="C30"/>
  <c r="G4" i="13"/>
  <c r="F14" l="1"/>
  <c r="G19" s="1"/>
  <c r="N4"/>
  <c r="B32" i="6"/>
  <c r="C31"/>
  <c r="C14" i="13"/>
  <c r="C21" s="1"/>
  <c r="G18" l="1"/>
  <c r="G15"/>
  <c r="G16"/>
  <c r="G17"/>
  <c r="G14"/>
  <c r="B33" i="6"/>
  <c r="C32"/>
  <c r="B34" l="1"/>
  <c r="C33"/>
  <c r="B35" l="1"/>
  <c r="C34"/>
  <c r="B36" l="1"/>
  <c r="C36" s="1"/>
  <c r="C35"/>
</calcChain>
</file>

<file path=xl/sharedStrings.xml><?xml version="1.0" encoding="utf-8"?>
<sst xmlns="http://schemas.openxmlformats.org/spreadsheetml/2006/main" count="390" uniqueCount="207">
  <si>
    <t xml:space="preserve">Gmax = </t>
  </si>
  <si>
    <t>Gmin =</t>
  </si>
  <si>
    <t>Emissions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</si>
  <si>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</si>
  <si>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</si>
  <si>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</si>
  <si>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</si>
  <si>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</si>
  <si>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</si>
  <si>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</si>
  <si>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</si>
  <si>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</si>
  <si>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</si>
  <si>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</si>
  <si>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</si>
  <si>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</si>
  <si>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</si>
  <si>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Best</t>
  </si>
  <si>
    <t>Points</t>
  </si>
  <si>
    <t>Design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</si>
  <si>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</si>
  <si>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</si>
  <si>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</si>
  <si>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</si>
  <si>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</si>
  <si>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</si>
  <si>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</si>
  <si>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</si>
  <si>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</si>
  <si>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</si>
  <si>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</si>
  <si>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</si>
  <si>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</si>
  <si>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</si>
  <si>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</si>
  <si>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</si>
  <si>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</si>
  <si>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</si>
  <si>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</si>
  <si>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Display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</si>
  <si>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</si>
  <si>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</si>
  <si>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</si>
  <si>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</si>
  <si>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</si>
  <si>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</si>
  <si>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</si>
  <si>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</si>
  <si>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</si>
  <si>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</si>
  <si>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</si>
  <si>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</si>
  <si>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</si>
  <si>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</si>
  <si>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</si>
  <si>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</si>
  <si>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</si>
  <si>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</si>
  <si>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Average</t>
  </si>
  <si>
    <t>Maximum</t>
  </si>
  <si>
    <t>Minimum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</si>
  <si>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</si>
  <si>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</si>
  <si>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</si>
  <si>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</si>
  <si>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</si>
  <si>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</si>
  <si>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</si>
  <si>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</si>
  <si>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</si>
  <si>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</si>
  <si>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</si>
  <si>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</si>
  <si>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FINAL EMISSIONS (grams/mile)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</si>
  <si>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</si>
  <si>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</si>
  <si>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</si>
  <si>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</si>
  <si>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</si>
  <si>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</si>
  <si>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</si>
  <si>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</si>
  <si>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</si>
  <si>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</si>
  <si>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</si>
  <si>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</si>
  <si>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</si>
  <si>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</si>
  <si>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</si>
  <si>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</si>
  <si>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</si>
  <si>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</si>
  <si>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</si>
  <si>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</si>
  <si>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</si>
  <si>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</si>
  <si>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</si>
  <si>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</si>
  <si>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</si>
  <si>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</si>
  <si>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</si>
  <si>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</si>
  <si>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</si>
  <si>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</si>
  <si>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</si>
  <si>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</si>
  <si>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</si>
  <si>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</si>
  <si>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</si>
  <si>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</si>
  <si>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</si>
  <si>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</si>
  <si>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</si>
  <si>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</si>
  <si>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</si>
  <si>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</si>
  <si>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</si>
  <si>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</si>
  <si>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</si>
  <si>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</si>
  <si>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</si>
  <si>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</si>
  <si>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</si>
  <si>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</si>
  <si>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</si>
  <si>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</si>
  <si>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</si>
  <si>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</si>
  <si>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</si>
  <si>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</si>
  <si>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</si>
  <si>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</si>
  <si>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</si>
  <si>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</si>
  <si>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</si>
  <si>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</si>
  <si>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</si>
  <si>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</si>
  <si>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</si>
  <si>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</si>
  <si>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</si>
  <si>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</si>
  <si>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</si>
  <si>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</si>
  <si>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</si>
  <si>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m</t>
  </si>
  <si>
    <t>b</t>
  </si>
  <si>
    <t>Endurance</t>
  </si>
  <si>
    <t>Rank</t>
  </si>
  <si>
    <t>Fuel consumed (gallons)</t>
  </si>
  <si>
    <t>Total Time must be Less than 12 seconds</t>
  </si>
  <si>
    <t>Design Paper
Judge</t>
  </si>
  <si>
    <t>SAE CSC 2017 Final Score Diesel Utility Class</t>
  </si>
  <si>
    <t>#101 North Dakota State Univ</t>
  </si>
  <si>
    <t>#102 SUNY-Buffalo</t>
  </si>
  <si>
    <t>#111 Univ of Wisconsin-Platteville</t>
  </si>
  <si>
    <r>
      <t xml:space="preserve">#112 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>cole De Technologie Sup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>rieure</t>
    </r>
  </si>
  <si>
    <t>#113 Indiana Univ Purdue Univ Indianapolis</t>
  </si>
  <si>
    <t>#114 Kettering Univ</t>
  </si>
  <si>
    <t>SAE CSC 2017 Design Paper DUC Class</t>
  </si>
  <si>
    <t>Judge</t>
  </si>
  <si>
    <t>#101                              North Dakota State Univ</t>
  </si>
  <si>
    <t>#102                        SUNY-Buffalo</t>
  </si>
  <si>
    <t>#111                             Univ of Wisconsin-Platteville</t>
  </si>
  <si>
    <r>
      <t xml:space="preserve">#112                                 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>cole De Technologie Sup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>rieure</t>
    </r>
  </si>
  <si>
    <t>#113                                 Indiana Univ Purdue Univ Indianapolis</t>
  </si>
  <si>
    <t>#114                          Kettering Univ</t>
  </si>
  <si>
    <t>SAE CSC 2017 Static Display Results</t>
  </si>
  <si>
    <t>SAE CSC 2017 MSRP Results</t>
  </si>
  <si>
    <t>SAE CSC 2017 Subjective Ride Results - Event Coordinator - Polaris</t>
  </si>
  <si>
    <t>SAE CSC 2017 Fuel Economy/Endurance Results</t>
  </si>
  <si>
    <t>Control Sled J1161 Noise Level Dba</t>
  </si>
  <si>
    <t>J1161 Level</t>
  </si>
  <si>
    <t>SAE CSC 2017 Oral Presentation Results</t>
  </si>
  <si>
    <t>SAE CSC 2017 Lab Emission Testing Results</t>
  </si>
  <si>
    <t>PASS</t>
  </si>
  <si>
    <t>Note this page will be calculated by AVL in their computer.  Just copy and paste results.</t>
  </si>
  <si>
    <t>SAE CSC 2017 In Service Emission Testing Results</t>
  </si>
  <si>
    <t>SAE CSC 2017 Cold Start Results</t>
  </si>
  <si>
    <t>SAE CSC 2017 Draw Bar Pull - Event Coordinator - Mark Osborne</t>
  </si>
  <si>
    <t>lbs</t>
  </si>
  <si>
    <t>min points:</t>
  </si>
  <si>
    <t>max points:</t>
  </si>
  <si>
    <t>SAE CSC 2017 Penalties</t>
  </si>
  <si>
    <t xml:space="preserve">Drawbar </t>
  </si>
  <si>
    <t>Pull</t>
  </si>
  <si>
    <t>SAE CSC 2017 DUC Engine Noise Testing</t>
  </si>
  <si>
    <t>DNF</t>
  </si>
  <si>
    <t>Pull #1</t>
  </si>
  <si>
    <t>Pull #2</t>
  </si>
  <si>
    <t>Pull #3</t>
  </si>
  <si>
    <t>Pull #4</t>
  </si>
  <si>
    <t>Max</t>
  </si>
  <si>
    <t>diesel</t>
  </si>
  <si>
    <t>FAIL</t>
  </si>
  <si>
    <t>SAE CSC 2017 DUC Vehicle Weights</t>
  </si>
  <si>
    <t>SAE CSC 2017 Acceleration + Load Results Sam Smith - Polaris</t>
  </si>
  <si>
    <t>Top Speed Run 1</t>
  </si>
  <si>
    <t>Top Speed Run 2</t>
  </si>
  <si>
    <t>Best Speed (mph)</t>
  </si>
  <si>
    <t>safety glasses</t>
  </si>
  <si>
    <t>Min</t>
  </si>
  <si>
    <t>unsafe box violation in objective handling</t>
  </si>
  <si>
    <t>Sums</t>
  </si>
  <si>
    <t>#102 SUNY Buffalo $500. from Cummins</t>
  </si>
  <si>
    <t>&gt;&gt;&gt;&gt;&gt;&gt;&gt;&gt;&gt;&gt;</t>
  </si>
  <si>
    <t>Note: No team passed the Lab Emission Test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</si>
</sst>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0.000000"/>
    <numFmt numFmtId="169" formatCode="0.0000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4"/>
      <color theme="1"/>
      <name val="Calibri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rgb="FFFF0000"/>
      <name val="Calibri"/>
      <family val="2"/>
    </font>
    <font>
      <sz val="10"/>
      <color rgb="FF002060"/>
      <name val="Arial"/>
      <family val="2"/>
    </font>
    <font>
      <sz val="14"/>
      <name val="Calibri"/>
      <family val="2"/>
      <scheme val="minor"/>
    </font>
    <font>
      <b/>
      <sz val="10"/>
      <color rgb="FF00B05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29" fillId="2" borderId="0" applyNumberFormat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4" fillId="0" borderId="0"/>
    <xf numFmtId="0" fontId="53" fillId="0" borderId="0" applyNumberForma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</cellStyleXfs>
  <cellXfs count="457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10" fillId="0" borderId="0" xfId="0" applyFont="1" applyProtection="1"/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5" fillId="0" borderId="0" xfId="0" applyFont="1" applyProtection="1"/>
    <xf numFmtId="0" fontId="5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1" fontId="5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 applyFill="1" applyBorder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1" fontId="5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44" fontId="11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9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1" fontId="7" fillId="0" borderId="0" xfId="0" applyNumberFormat="1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Fill="1" applyBorder="1" applyAlignment="1" applyProtection="1">
      <alignment horizontal="center" wrapText="1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 applyProtection="1">
      <alignment horizontal="center"/>
    </xf>
    <xf numFmtId="0" fontId="10" fillId="0" borderId="0" xfId="0" applyFont="1" applyFill="1"/>
    <xf numFmtId="164" fontId="0" fillId="0" borderId="0" xfId="0" applyNumberFormat="1" applyFill="1" applyAlignment="1">
      <alignment horizontal="center"/>
    </xf>
    <xf numFmtId="165" fontId="9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9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0" borderId="0" xfId="0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5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1" fontId="7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9" fillId="0" borderId="0" xfId="0" applyFont="1" applyAlignment="1" applyProtection="1"/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9" fillId="0" borderId="0" xfId="0" applyFont="1" applyAlignment="1"/>
    <xf numFmtId="167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9" fillId="0" borderId="0" xfId="0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Protection="1"/>
    <xf numFmtId="0" fontId="5" fillId="0" borderId="0" xfId="0" applyFont="1"/>
    <xf numFmtId="0" fontId="7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1" fontId="6" fillId="0" borderId="0" xfId="0" applyNumberFormat="1" applyFont="1" applyProtection="1"/>
    <xf numFmtId="0" fontId="9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center" wrapText="1"/>
    </xf>
    <xf numFmtId="2" fontId="7" fillId="0" borderId="0" xfId="0" applyNumberFormat="1" applyFont="1" applyAlignment="1" applyProtection="1">
      <alignment horizontal="center"/>
    </xf>
    <xf numFmtId="1" fontId="9" fillId="0" borderId="0" xfId="0" applyNumberFormat="1" applyFont="1" applyAlignment="1" applyProtection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/>
    <xf numFmtId="2" fontId="7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Protection="1"/>
    <xf numFmtId="164" fontId="5" fillId="0" borderId="0" xfId="0" quotePrefix="1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Fill="1"/>
    <xf numFmtId="2" fontId="5" fillId="0" borderId="0" xfId="0" applyNumberFormat="1" applyFont="1" applyAlignment="1">
      <alignment horizontal="center"/>
    </xf>
    <xf numFmtId="0" fontId="21" fillId="0" borderId="0" xfId="0" applyFont="1" applyAlignment="1">
      <alignment horizontal="justify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" fillId="0" borderId="0" xfId="0" applyFont="1" applyAlignment="1"/>
    <xf numFmtId="1" fontId="17" fillId="0" borderId="0" xfId="0" applyNumberFormat="1" applyFont="1" applyAlignment="1" applyProtection="1">
      <alignment horizontal="center"/>
    </xf>
    <xf numFmtId="164" fontId="16" fillId="0" borderId="1" xfId="0" applyNumberFormat="1" applyFont="1" applyBorder="1" applyAlignment="1">
      <alignment horizontal="center"/>
    </xf>
    <xf numFmtId="1" fontId="16" fillId="0" borderId="0" xfId="0" applyNumberFormat="1" applyFont="1" applyAlignment="1" applyProtection="1">
      <alignment horizontal="center"/>
    </xf>
    <xf numFmtId="166" fontId="16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3" fillId="0" borderId="0" xfId="0" applyFont="1"/>
    <xf numFmtId="0" fontId="0" fillId="0" borderId="0" xfId="0" applyFill="1" applyBorder="1" applyAlignment="1" applyProtection="1">
      <alignment horizontal="left"/>
    </xf>
    <xf numFmtId="1" fontId="0" fillId="0" borderId="0" xfId="0" applyNumberFormat="1" applyProtection="1"/>
    <xf numFmtId="1" fontId="0" fillId="0" borderId="0" xfId="0" applyNumberFormat="1"/>
    <xf numFmtId="1" fontId="7" fillId="0" borderId="0" xfId="0" applyNumberFormat="1" applyFont="1" applyProtection="1"/>
    <xf numFmtId="2" fontId="9" fillId="0" borderId="0" xfId="0" applyNumberFormat="1" applyFont="1" applyProtection="1"/>
    <xf numFmtId="1" fontId="0" fillId="0" borderId="0" xfId="0" applyNumberFormat="1" applyBorder="1"/>
    <xf numFmtId="0" fontId="7" fillId="0" borderId="0" xfId="0" applyFont="1" applyBorder="1" applyAlignment="1">
      <alignment horizontal="left" wrapText="1"/>
    </xf>
    <xf numFmtId="0" fontId="25" fillId="0" borderId="0" xfId="0" applyFont="1" applyProtection="1"/>
    <xf numFmtId="0" fontId="26" fillId="0" borderId="0" xfId="0" applyFont="1"/>
    <xf numFmtId="0" fontId="26" fillId="0" borderId="0" xfId="0" applyFont="1" applyProtection="1"/>
    <xf numFmtId="0" fontId="5" fillId="0" borderId="2" xfId="0" applyFont="1" applyBorder="1" applyAlignment="1">
      <alignment horizontal="centerContinuous"/>
    </xf>
    <xf numFmtId="0" fontId="9" fillId="0" borderId="0" xfId="0" applyFont="1" applyAlignment="1" applyProtection="1">
      <alignment horizontal="centerContinuous"/>
    </xf>
    <xf numFmtId="0" fontId="9" fillId="0" borderId="3" xfId="0" applyFont="1" applyBorder="1" applyAlignment="1" applyProtection="1">
      <alignment horizontal="centerContinuous"/>
    </xf>
    <xf numFmtId="0" fontId="9" fillId="0" borderId="4" xfId="0" applyFont="1" applyBorder="1" applyAlignment="1" applyProtection="1">
      <alignment horizontal="centerContinuous"/>
    </xf>
    <xf numFmtId="0" fontId="9" fillId="0" borderId="2" xfId="0" applyFont="1" applyBorder="1" applyAlignment="1" applyProtection="1">
      <alignment horizontal="centerContinuous"/>
    </xf>
    <xf numFmtId="0" fontId="9" fillId="0" borderId="6" xfId="0" applyFont="1" applyFill="1" applyBorder="1" applyProtection="1"/>
    <xf numFmtId="0" fontId="9" fillId="0" borderId="5" xfId="0" applyFont="1" applyFill="1" applyBorder="1" applyProtection="1"/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26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Protection="1"/>
    <xf numFmtId="1" fontId="4" fillId="0" borderId="1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Protection="1"/>
    <xf numFmtId="1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Border="1"/>
    <xf numFmtId="165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4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4" fontId="28" fillId="0" borderId="1" xfId="1" applyNumberFormat="1" applyFont="1" applyFill="1" applyBorder="1" applyAlignment="1" applyProtection="1">
      <alignment horizontal="center"/>
    </xf>
    <xf numFmtId="164" fontId="0" fillId="0" borderId="0" xfId="0" applyNumberFormat="1" applyAlignment="1">
      <alignment horizontal="center"/>
    </xf>
    <xf numFmtId="2" fontId="9" fillId="0" borderId="0" xfId="0" applyNumberFormat="1" applyFont="1" applyAlignment="1" applyProtection="1"/>
    <xf numFmtId="0" fontId="9" fillId="0" borderId="0" xfId="0" applyNumberFormat="1" applyFont="1" applyProtection="1"/>
    <xf numFmtId="0" fontId="9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0" fontId="0" fillId="0" borderId="0" xfId="0" applyNumberFormat="1"/>
    <xf numFmtId="165" fontId="9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4" fillId="0" borderId="0" xfId="0" applyNumberFormat="1" applyFont="1" applyBorder="1" applyAlignment="1" applyProtection="1">
      <alignment horizontal="left"/>
    </xf>
    <xf numFmtId="165" fontId="29" fillId="0" borderId="0" xfId="1" applyNumberFormat="1" applyFill="1" applyBorder="1" applyProtection="1"/>
    <xf numFmtId="166" fontId="5" fillId="0" borderId="1" xfId="0" applyNumberFormat="1" applyFont="1" applyFill="1" applyBorder="1" applyAlignment="1" applyProtection="1">
      <alignment horizontal="center"/>
    </xf>
    <xf numFmtId="0" fontId="28" fillId="0" borderId="1" xfId="1" applyFont="1" applyFill="1" applyBorder="1" applyAlignment="1" applyProtection="1">
      <alignment horizontal="center"/>
    </xf>
    <xf numFmtId="166" fontId="9" fillId="0" borderId="0" xfId="0" applyNumberFormat="1" applyFont="1" applyFill="1" applyBorder="1" applyProtection="1"/>
    <xf numFmtId="166" fontId="9" fillId="0" borderId="0" xfId="0" applyNumberFormat="1" applyFont="1" applyProtection="1"/>
    <xf numFmtId="1" fontId="9" fillId="0" borderId="0" xfId="0" applyNumberFormat="1" applyFont="1" applyFill="1" applyBorder="1" applyAlignment="1" applyProtection="1">
      <alignment horizontal="center"/>
    </xf>
    <xf numFmtId="44" fontId="9" fillId="0" borderId="0" xfId="2" applyFont="1" applyFill="1" applyBorder="1" applyAlignment="1" applyProtection="1">
      <alignment horizontal="center"/>
    </xf>
    <xf numFmtId="44" fontId="0" fillId="0" borderId="0" xfId="2" applyFont="1"/>
    <xf numFmtId="168" fontId="9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Border="1" applyAlignment="1" applyProtection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25" fillId="0" borderId="0" xfId="0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2" fontId="26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34" fillId="0" borderId="0" xfId="0" applyFont="1"/>
    <xf numFmtId="1" fontId="26" fillId="0" borderId="0" xfId="0" applyNumberFormat="1" applyFont="1" applyAlignment="1">
      <alignment horizontal="center"/>
    </xf>
    <xf numFmtId="165" fontId="4" fillId="0" borderId="0" xfId="0" applyNumberFormat="1" applyFont="1" applyFill="1" applyBorder="1" applyProtection="1"/>
    <xf numFmtId="2" fontId="4" fillId="0" borderId="0" xfId="0" applyNumberFormat="1" applyFont="1"/>
    <xf numFmtId="165" fontId="28" fillId="0" borderId="0" xfId="1" applyNumberFormat="1" applyFont="1" applyFill="1" applyBorder="1" applyProtection="1"/>
    <xf numFmtId="2" fontId="0" fillId="0" borderId="1" xfId="0" applyNumberForma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Fill="1" applyAlignment="1" applyProtection="1">
      <alignment horizontal="center"/>
    </xf>
    <xf numFmtId="0" fontId="25" fillId="0" borderId="0" xfId="0" applyFont="1" applyFill="1" applyBorder="1" applyProtection="1"/>
    <xf numFmtId="0" fontId="10" fillId="0" borderId="0" xfId="0" applyFont="1" applyAlignment="1">
      <alignment horizontal="left"/>
    </xf>
    <xf numFmtId="0" fontId="26" fillId="0" borderId="0" xfId="0" applyFont="1" applyBorder="1" applyAlignment="1">
      <alignment horizontal="left" wrapText="1"/>
    </xf>
    <xf numFmtId="2" fontId="4" fillId="0" borderId="1" xfId="0" applyNumberFormat="1" applyFont="1" applyBorder="1" applyAlignment="1" applyProtection="1">
      <alignment horizontal="center"/>
    </xf>
    <xf numFmtId="1" fontId="26" fillId="0" borderId="0" xfId="0" applyNumberFormat="1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left"/>
    </xf>
    <xf numFmtId="0" fontId="4" fillId="0" borderId="0" xfId="0" applyFont="1" applyFill="1" applyBorder="1"/>
    <xf numFmtId="164" fontId="4" fillId="0" borderId="0" xfId="0" applyNumberFormat="1" applyFont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 wrapText="1"/>
    </xf>
    <xf numFmtId="0" fontId="32" fillId="0" borderId="0" xfId="0" applyFont="1"/>
    <xf numFmtId="0" fontId="32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2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2"/>
    </xf>
    <xf numFmtId="0" fontId="4" fillId="0" borderId="0" xfId="0" applyFont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Continuous"/>
    </xf>
    <xf numFmtId="2" fontId="0" fillId="0" borderId="2" xfId="0" applyNumberFormat="1" applyBorder="1" applyAlignment="1">
      <alignment horizontal="centerContinuous"/>
    </xf>
    <xf numFmtId="2" fontId="0" fillId="0" borderId="5" xfId="0" applyNumberFormat="1" applyBorder="1"/>
    <xf numFmtId="2" fontId="5" fillId="0" borderId="8" xfId="0" applyNumberFormat="1" applyFont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0" xfId="0" applyNumberFormat="1" applyFont="1"/>
    <xf numFmtId="2" fontId="0" fillId="0" borderId="0" xfId="0" applyNumberFormat="1"/>
    <xf numFmtId="0" fontId="35" fillId="0" borderId="0" xfId="0" applyFont="1" applyFill="1" applyAlignment="1" applyProtection="1">
      <alignment horizontal="center"/>
    </xf>
    <xf numFmtId="0" fontId="35" fillId="0" borderId="0" xfId="0" applyFont="1" applyFill="1" applyAlignment="1">
      <alignment horizontal="center"/>
    </xf>
    <xf numFmtId="2" fontId="35" fillId="0" borderId="0" xfId="0" applyNumberFormat="1" applyFont="1" applyFill="1" applyAlignment="1" applyProtection="1">
      <alignment horizontal="center"/>
    </xf>
    <xf numFmtId="0" fontId="36" fillId="0" borderId="0" xfId="0" applyFont="1" applyFill="1" applyAlignment="1">
      <alignment horizontal="center"/>
    </xf>
    <xf numFmtId="164" fontId="37" fillId="0" borderId="1" xfId="1" applyNumberFormat="1" applyFont="1" applyFill="1" applyBorder="1" applyAlignment="1" applyProtection="1">
      <alignment horizontal="center"/>
    </xf>
    <xf numFmtId="0" fontId="28" fillId="0" borderId="0" xfId="1" applyFont="1" applyFill="1" applyBorder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169" fontId="4" fillId="0" borderId="0" xfId="0" applyNumberFormat="1" applyFont="1" applyAlignment="1" applyProtection="1">
      <alignment horizontal="center"/>
    </xf>
    <xf numFmtId="169" fontId="7" fillId="0" borderId="0" xfId="0" applyNumberFormat="1" applyFont="1" applyAlignment="1" applyProtection="1">
      <alignment horizontal="center"/>
    </xf>
    <xf numFmtId="0" fontId="24" fillId="0" borderId="0" xfId="3" applyFont="1" applyBorder="1" applyAlignment="1">
      <alignment horizontal="left" wrapText="1"/>
    </xf>
    <xf numFmtId="0" fontId="29" fillId="0" borderId="1" xfId="1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horizontal="center"/>
    </xf>
    <xf numFmtId="0" fontId="42" fillId="0" borderId="0" xfId="0" applyFont="1" applyAlignment="1">
      <alignment horizontal="left"/>
    </xf>
    <xf numFmtId="0" fontId="42" fillId="0" borderId="0" xfId="0" applyFont="1"/>
    <xf numFmtId="0" fontId="26" fillId="0" borderId="0" xfId="0" applyFont="1" applyFill="1" applyBorder="1" applyProtection="1"/>
    <xf numFmtId="2" fontId="43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Alignment="1"/>
    <xf numFmtId="2" fontId="22" fillId="0" borderId="0" xfId="0" applyNumberFormat="1" applyFont="1" applyAlignment="1"/>
    <xf numFmtId="0" fontId="4" fillId="0" borderId="1" xfId="0" applyFont="1" applyBorder="1" applyAlignment="1">
      <alignment horizontal="center"/>
    </xf>
    <xf numFmtId="2" fontId="28" fillId="0" borderId="0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4" fillId="0" borderId="0" xfId="0" applyNumberFormat="1" applyFont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0" fontId="40" fillId="0" borderId="0" xfId="0" applyFont="1"/>
    <xf numFmtId="0" fontId="44" fillId="0" borderId="0" xfId="0" applyFont="1" applyAlignment="1" applyProtection="1">
      <alignment horizontal="left"/>
    </xf>
    <xf numFmtId="0" fontId="44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1" fontId="5" fillId="0" borderId="0" xfId="0" applyNumberFormat="1" applyFont="1" applyBorder="1" applyAlignment="1" applyProtection="1"/>
    <xf numFmtId="1" fontId="5" fillId="0" borderId="0" xfId="0" applyNumberFormat="1" applyFont="1" applyBorder="1" applyAlignment="1" applyProtection="1">
      <alignment horizontal="right"/>
    </xf>
    <xf numFmtId="0" fontId="37" fillId="0" borderId="0" xfId="1" applyFont="1" applyFill="1" applyBorder="1" applyAlignment="1"/>
    <xf numFmtId="164" fontId="45" fillId="0" borderId="1" xfId="0" applyNumberFormat="1" applyFont="1" applyBorder="1" applyAlignment="1">
      <alignment horizontal="center"/>
    </xf>
    <xf numFmtId="0" fontId="12" fillId="0" borderId="0" xfId="0" applyFont="1" applyAlignment="1" applyProtection="1"/>
    <xf numFmtId="164" fontId="5" fillId="0" borderId="0" xfId="0" applyNumberFormat="1" applyFont="1"/>
    <xf numFmtId="2" fontId="10" fillId="0" borderId="0" xfId="0" applyNumberFormat="1" applyFont="1" applyProtection="1"/>
    <xf numFmtId="2" fontId="5" fillId="0" borderId="0" xfId="0" applyNumberFormat="1" applyFont="1" applyProtection="1"/>
    <xf numFmtId="2" fontId="8" fillId="0" borderId="0" xfId="0" applyNumberFormat="1" applyFont="1" applyFill="1" applyBorder="1" applyAlignment="1" applyProtection="1">
      <alignment horizontal="center" wrapText="1"/>
    </xf>
    <xf numFmtId="0" fontId="4" fillId="0" borderId="1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46" fillId="0" borderId="0" xfId="0" applyNumberFormat="1" applyFont="1" applyAlignment="1">
      <alignment horizontal="center"/>
    </xf>
    <xf numFmtId="1" fontId="45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167" fontId="47" fillId="0" borderId="0" xfId="0" applyNumberFormat="1" applyFont="1" applyAlignment="1">
      <alignment horizontal="center"/>
    </xf>
    <xf numFmtId="2" fontId="48" fillId="0" borderId="0" xfId="0" applyNumberFormat="1" applyFont="1" applyAlignment="1">
      <alignment horizontal="center"/>
    </xf>
    <xf numFmtId="0" fontId="49" fillId="0" borderId="1" xfId="0" applyFont="1" applyBorder="1"/>
    <xf numFmtId="0" fontId="10" fillId="0" borderId="0" xfId="0" applyFont="1"/>
    <xf numFmtId="2" fontId="45" fillId="0" borderId="1" xfId="0" applyNumberFormat="1" applyFont="1" applyBorder="1" applyAlignment="1">
      <alignment horizontal="center"/>
    </xf>
    <xf numFmtId="2" fontId="45" fillId="0" borderId="13" xfId="0" applyNumberFormat="1" applyFont="1" applyBorder="1" applyAlignment="1">
      <alignment horizontal="center"/>
    </xf>
    <xf numFmtId="2" fontId="4" fillId="0" borderId="11" xfId="0" applyNumberFormat="1" applyFont="1" applyBorder="1"/>
    <xf numFmtId="0" fontId="48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51" fillId="0" borderId="0" xfId="0" applyFont="1" applyBorder="1" applyAlignment="1" applyProtection="1">
      <alignment horizontal="left" wrapText="1"/>
    </xf>
    <xf numFmtId="0" fontId="51" fillId="0" borderId="0" xfId="0" applyFont="1" applyBorder="1" applyAlignment="1" applyProtection="1">
      <alignment horizontal="left"/>
    </xf>
    <xf numFmtId="0" fontId="51" fillId="0" borderId="0" xfId="0" applyFont="1" applyBorder="1" applyAlignment="1">
      <alignment horizontal="left"/>
    </xf>
    <xf numFmtId="0" fontId="25" fillId="0" borderId="0" xfId="0" applyFont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>
      <alignment horizontal="left"/>
    </xf>
    <xf numFmtId="0" fontId="50" fillId="4" borderId="1" xfId="0" applyFont="1" applyFill="1" applyBorder="1"/>
    <xf numFmtId="0" fontId="0" fillId="0" borderId="1" xfId="0" applyBorder="1"/>
    <xf numFmtId="0" fontId="54" fillId="0" borderId="1" xfId="5" applyFont="1" applyBorder="1" applyAlignment="1"/>
    <xf numFmtId="0" fontId="50" fillId="4" borderId="1" xfId="0" applyFont="1" applyFill="1" applyBorder="1" applyAlignment="1">
      <alignment vertical="top" wrapText="1"/>
    </xf>
    <xf numFmtId="0" fontId="55" fillId="0" borderId="0" xfId="0" applyFont="1" applyAlignment="1">
      <alignment horizontal="center"/>
    </xf>
    <xf numFmtId="0" fontId="32" fillId="0" borderId="11" xfId="0" applyFont="1" applyBorder="1" applyAlignment="1"/>
    <xf numFmtId="0" fontId="3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/>
    <xf numFmtId="0" fontId="50" fillId="4" borderId="14" xfId="0" applyFont="1" applyFill="1" applyBorder="1" applyAlignment="1">
      <alignment horizontal="center" vertical="top" wrapText="1"/>
    </xf>
    <xf numFmtId="0" fontId="11" fillId="0" borderId="0" xfId="0" applyFont="1"/>
    <xf numFmtId="0" fontId="4" fillId="0" borderId="0" xfId="0" applyFont="1" applyAlignment="1" applyProtection="1">
      <alignment horizontal="right"/>
    </xf>
    <xf numFmtId="165" fontId="4" fillId="0" borderId="0" xfId="0" applyNumberFormat="1" applyFont="1" applyProtection="1"/>
    <xf numFmtId="0" fontId="4" fillId="0" borderId="1" xfId="4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6" fillId="0" borderId="0" xfId="0" applyFont="1" applyFill="1" applyAlignment="1" applyProtection="1">
      <alignment horizontal="center"/>
    </xf>
    <xf numFmtId="0" fontId="56" fillId="0" borderId="0" xfId="0" applyFont="1" applyFill="1" applyAlignment="1">
      <alignment horizontal="center"/>
    </xf>
    <xf numFmtId="0" fontId="57" fillId="0" borderId="0" xfId="0" applyFont="1"/>
    <xf numFmtId="2" fontId="56" fillId="0" borderId="0" xfId="0" applyNumberFormat="1" applyFont="1" applyFill="1" applyAlignment="1" applyProtection="1">
      <alignment horizontal="center"/>
    </xf>
    <xf numFmtId="2" fontId="57" fillId="0" borderId="0" xfId="0" applyNumberFormat="1" applyFont="1" applyFill="1" applyAlignment="1" applyProtection="1">
      <alignment horizontal="center"/>
    </xf>
    <xf numFmtId="0" fontId="25" fillId="0" borderId="0" xfId="0" applyFont="1" applyAlignment="1">
      <alignment horizontal="center"/>
    </xf>
    <xf numFmtId="2" fontId="45" fillId="3" borderId="11" xfId="4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 applyProtection="1">
      <alignment horizontal="left"/>
    </xf>
    <xf numFmtId="2" fontId="4" fillId="0" borderId="0" xfId="0" applyNumberFormat="1" applyFont="1" applyAlignment="1" applyProtection="1">
      <alignment horizontal="left"/>
    </xf>
    <xf numFmtId="2" fontId="45" fillId="0" borderId="0" xfId="0" applyNumberFormat="1" applyFont="1" applyBorder="1" applyAlignment="1">
      <alignment horizontal="center"/>
    </xf>
    <xf numFmtId="0" fontId="2" fillId="0" borderId="1" xfId="6" applyBorder="1"/>
    <xf numFmtId="164" fontId="28" fillId="0" borderId="1" xfId="1" applyNumberFormat="1" applyFont="1" applyFill="1" applyBorder="1" applyAlignment="1">
      <alignment horizontal="center"/>
    </xf>
    <xf numFmtId="2" fontId="4" fillId="0" borderId="0" xfId="0" applyNumberFormat="1" applyFont="1" applyBorder="1"/>
    <xf numFmtId="0" fontId="50" fillId="4" borderId="7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Protection="1"/>
    <xf numFmtId="2" fontId="5" fillId="0" borderId="1" xfId="0" applyNumberFormat="1" applyFont="1" applyFill="1" applyBorder="1" applyAlignment="1" applyProtection="1">
      <alignment horizontal="left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applyNumberFormat="1" applyFont="1" applyBorder="1" applyAlignment="1">
      <alignment horizontal="right"/>
    </xf>
    <xf numFmtId="2" fontId="47" fillId="0" borderId="1" xfId="0" applyNumberFormat="1" applyFont="1" applyBorder="1"/>
    <xf numFmtId="164" fontId="48" fillId="0" borderId="1" xfId="0" applyNumberFormat="1" applyFont="1" applyBorder="1" applyAlignment="1">
      <alignment horizontal="center"/>
    </xf>
    <xf numFmtId="2" fontId="48" fillId="0" borderId="1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Border="1" applyAlignment="1">
      <alignment horizontal="left"/>
    </xf>
    <xf numFmtId="2" fontId="9" fillId="0" borderId="1" xfId="0" applyNumberFormat="1" applyFont="1" applyFill="1" applyBorder="1" applyAlignment="1" applyProtection="1">
      <alignment horizontal="center"/>
    </xf>
    <xf numFmtId="1" fontId="4" fillId="0" borderId="15" xfId="0" applyNumberFormat="1" applyFont="1" applyFill="1" applyBorder="1" applyAlignment="1" applyProtection="1">
      <alignment horizontal="center"/>
    </xf>
    <xf numFmtId="164" fontId="58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64" fontId="31" fillId="0" borderId="1" xfId="1" applyNumberFormat="1" applyFont="1" applyFill="1" applyBorder="1" applyAlignment="1">
      <alignment horizontal="center"/>
    </xf>
    <xf numFmtId="0" fontId="26" fillId="0" borderId="0" xfId="0" applyFont="1" applyAlignment="1" applyProtection="1">
      <alignment horizontal="center"/>
    </xf>
    <xf numFmtId="0" fontId="0" fillId="0" borderId="16" xfId="0" applyBorder="1"/>
    <xf numFmtId="1" fontId="45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165" fontId="9" fillId="0" borderId="1" xfId="0" applyNumberFormat="1" applyFont="1" applyFill="1" applyBorder="1" applyAlignment="1" applyProtection="1">
      <alignment horizontal="center"/>
    </xf>
    <xf numFmtId="165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44" fontId="11" fillId="0" borderId="1" xfId="0" applyNumberFormat="1" applyFont="1" applyBorder="1" applyProtection="1"/>
    <xf numFmtId="0" fontId="4" fillId="0" borderId="1" xfId="0" applyFont="1" applyBorder="1" applyAlignment="1">
      <alignment horizontal="left"/>
    </xf>
    <xf numFmtId="1" fontId="45" fillId="0" borderId="12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/>
    </xf>
    <xf numFmtId="1" fontId="45" fillId="0" borderId="11" xfId="0" applyNumberFormat="1" applyFont="1" applyBorder="1" applyAlignment="1">
      <alignment horizontal="center"/>
    </xf>
    <xf numFmtId="1" fontId="45" fillId="0" borderId="13" xfId="0" applyNumberFormat="1" applyFont="1" applyBorder="1" applyAlignment="1">
      <alignment horizontal="center"/>
    </xf>
    <xf numFmtId="164" fontId="59" fillId="0" borderId="0" xfId="0" applyNumberFormat="1" applyFont="1" applyAlignment="1" applyProtection="1">
      <alignment horizontal="center"/>
    </xf>
    <xf numFmtId="0" fontId="4" fillId="0" borderId="1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60" fillId="0" borderId="1" xfId="1" applyFont="1" applyFill="1" applyBorder="1" applyAlignment="1" applyProtection="1">
      <alignment horizontal="center"/>
    </xf>
    <xf numFmtId="164" fontId="28" fillId="0" borderId="1" xfId="1" applyNumberFormat="1" applyFont="1" applyFill="1" applyBorder="1" applyAlignment="1">
      <alignment vertical="center" wrapText="1"/>
    </xf>
    <xf numFmtId="164" fontId="28" fillId="0" borderId="1" xfId="1" applyNumberFormat="1" applyFont="1" applyFill="1" applyBorder="1" applyAlignment="1" applyProtection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center"/>
    </xf>
    <xf numFmtId="44" fontId="5" fillId="0" borderId="0" xfId="4" applyNumberFormat="1" applyFont="1" applyFill="1" applyAlignment="1">
      <alignment horizontal="right"/>
    </xf>
    <xf numFmtId="0" fontId="63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1" fontId="63" fillId="0" borderId="1" xfId="0" applyNumberFormat="1" applyFont="1" applyBorder="1" applyAlignment="1">
      <alignment horizontal="center"/>
    </xf>
    <xf numFmtId="1" fontId="63" fillId="5" borderId="1" xfId="0" applyNumberFormat="1" applyFont="1" applyFill="1" applyBorder="1" applyAlignment="1">
      <alignment horizont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>
      <alignment horizontal="center"/>
    </xf>
    <xf numFmtId="164" fontId="25" fillId="0" borderId="0" xfId="0" applyNumberFormat="1" applyFont="1" applyFill="1" applyBorder="1" applyProtection="1"/>
    <xf numFmtId="0" fontId="46" fillId="0" borderId="17" xfId="0" applyFont="1" applyBorder="1" applyAlignment="1">
      <alignment horizontal="center"/>
    </xf>
    <xf numFmtId="0" fontId="64" fillId="0" borderId="1" xfId="0" applyFont="1" applyBorder="1"/>
    <xf numFmtId="2" fontId="65" fillId="0" borderId="0" xfId="0" applyNumberFormat="1" applyFont="1" applyAlignment="1" applyProtection="1"/>
    <xf numFmtId="0" fontId="5" fillId="0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3" borderId="11" xfId="0" quotePrefix="1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4" fontId="5" fillId="0" borderId="0" xfId="0" applyNumberFormat="1" applyFont="1" applyFill="1" applyBorder="1" applyProtection="1"/>
    <xf numFmtId="2" fontId="4" fillId="0" borderId="0" xfId="0" applyNumberFormat="1" applyFont="1" applyAlignment="1" applyProtection="1">
      <alignment horizontal="center"/>
    </xf>
    <xf numFmtId="2" fontId="63" fillId="5" borderId="1" xfId="0" applyNumberFormat="1" applyFont="1" applyFill="1" applyBorder="1" applyAlignment="1">
      <alignment horizontal="center"/>
    </xf>
    <xf numFmtId="2" fontId="63" fillId="0" borderId="1" xfId="0" applyNumberFormat="1" applyFont="1" applyBorder="1" applyAlignment="1">
      <alignment horizontal="center"/>
    </xf>
    <xf numFmtId="2" fontId="64" fillId="0" borderId="1" xfId="0" applyNumberFormat="1" applyFont="1" applyBorder="1"/>
    <xf numFmtId="0" fontId="39" fillId="0" borderId="0" xfId="3" applyFont="1" applyBorder="1" applyAlignment="1"/>
    <xf numFmtId="0" fontId="39" fillId="0" borderId="0" xfId="3" applyFont="1" applyBorder="1" applyAlignment="1">
      <alignment wrapText="1"/>
    </xf>
    <xf numFmtId="0" fontId="40" fillId="0" borderId="0" xfId="1" applyFont="1" applyFill="1" applyBorder="1" applyAlignment="1"/>
    <xf numFmtId="0" fontId="39" fillId="0" borderId="0" xfId="3" applyFont="1" applyBorder="1" applyAlignment="1">
      <alignment horizontal="left"/>
    </xf>
    <xf numFmtId="0" fontId="39" fillId="0" borderId="0" xfId="3" applyFont="1" applyBorder="1" applyAlignment="1">
      <alignment horizontal="left" wrapText="1"/>
    </xf>
    <xf numFmtId="0" fontId="39" fillId="0" borderId="0" xfId="3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</cellXfs>
  <cellStyles count="10">
    <cellStyle name="Bad" xfId="1" builtinId="27"/>
    <cellStyle name="Currency" xfId="2" builtinId="4"/>
    <cellStyle name="Currency 2" xfId="7"/>
    <cellStyle name="Hyperlink" xfId="5" builtinId="8"/>
    <cellStyle name="Normal" xfId="0" builtinId="0"/>
    <cellStyle name="Normal 2" xfId="3"/>
    <cellStyle name="Normal 2 2" xfId="8"/>
    <cellStyle name="Normal 3" xfId="4"/>
    <cellStyle name="Normal 4" xfId="6"/>
    <cellStyle name="Normal 4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9525</xdr:rowOff>
    </xdr:from>
    <xdr:to>
      <xdr:col>36</xdr:col>
      <xdr:colOff>0</xdr:colOff>
      <xdr:row>30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52"/>
  <sheetViews>
    <sheetView tabSelected="1" zoomScale="90" zoomScaleNormal="90" zoomScalePageLayoutView="125" workbookViewId="0">
      <selection activeCell="F30" sqref="F30"/>
    </sheetView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44140625" customWidth="1"/>
    <col min="6" max="6" width="11.33203125" customWidth="1"/>
    <col min="7" max="7" width="11.44140625" customWidth="1"/>
    <col min="8" max="8" width="15.33203125" customWidth="1"/>
    <col min="9" max="9" width="15.44140625" style="148" customWidth="1"/>
    <col min="10" max="10" width="15.44140625" style="3" customWidth="1"/>
    <col min="11" max="11" width="9.33203125" customWidth="1"/>
    <col min="12" max="12" width="12.44140625" customWidth="1"/>
    <col min="13" max="13" width="11.109375" customWidth="1"/>
    <col min="14" max="14" width="15.44140625" customWidth="1"/>
  </cols>
  <sheetData>
    <row r="1" spans="1:17" ht="17.399999999999999">
      <c r="A1" s="7" t="s">
        <v>152</v>
      </c>
      <c r="B1" s="6"/>
      <c r="C1" s="17"/>
      <c r="D1" s="6"/>
      <c r="E1" s="10" t="s">
        <v>147</v>
      </c>
      <c r="F1" s="34"/>
      <c r="G1" s="6"/>
      <c r="H1" s="6"/>
      <c r="I1" s="147"/>
      <c r="J1" s="114" t="s">
        <v>75</v>
      </c>
      <c r="K1" s="6"/>
      <c r="L1" s="17"/>
      <c r="M1" s="6"/>
    </row>
    <row r="2" spans="1:17">
      <c r="A2" s="6"/>
      <c r="B2" s="5" t="s">
        <v>19</v>
      </c>
      <c r="C2" s="5" t="s">
        <v>4</v>
      </c>
      <c r="D2" s="6"/>
      <c r="E2" s="5" t="s">
        <v>34</v>
      </c>
      <c r="F2" s="34"/>
      <c r="G2" s="6"/>
      <c r="H2" s="6"/>
      <c r="I2" s="70" t="s">
        <v>74</v>
      </c>
      <c r="J2" s="5" t="s">
        <v>68</v>
      </c>
      <c r="K2" s="5" t="s">
        <v>36</v>
      </c>
      <c r="L2" s="5" t="s">
        <v>184</v>
      </c>
      <c r="M2" s="10" t="s">
        <v>55</v>
      </c>
      <c r="N2" s="2" t="s">
        <v>203</v>
      </c>
    </row>
    <row r="3" spans="1:17">
      <c r="A3" s="6"/>
      <c r="B3" s="5" t="s">
        <v>5</v>
      </c>
      <c r="C3" s="5" t="s">
        <v>39</v>
      </c>
      <c r="D3" s="5" t="s">
        <v>57</v>
      </c>
      <c r="E3" s="32" t="s">
        <v>35</v>
      </c>
      <c r="F3" s="5" t="s">
        <v>3</v>
      </c>
      <c r="G3" s="5" t="s">
        <v>29</v>
      </c>
      <c r="H3" s="2" t="s">
        <v>30</v>
      </c>
      <c r="I3" s="16" t="s">
        <v>67</v>
      </c>
      <c r="J3" s="5" t="s">
        <v>2</v>
      </c>
      <c r="K3" s="5" t="s">
        <v>37</v>
      </c>
      <c r="L3" s="5" t="s">
        <v>185</v>
      </c>
      <c r="M3" s="5" t="s">
        <v>54</v>
      </c>
      <c r="Q3" s="5"/>
    </row>
    <row r="4" spans="1:17" ht="18">
      <c r="A4" s="346" t="s">
        <v>153</v>
      </c>
      <c r="B4" s="410">
        <f>Paper!C68</f>
        <v>69.916666666666671</v>
      </c>
      <c r="C4" s="180">
        <f>Static!B5</f>
        <v>50</v>
      </c>
      <c r="D4" s="197">
        <f>MSRP!L7</f>
        <v>15.70603674540682</v>
      </c>
      <c r="E4" s="183">
        <f>'Fuel Economy-Endurance  '!E10</f>
        <v>100</v>
      </c>
      <c r="F4" s="180">
        <f>Oral!AL4</f>
        <v>44.92</v>
      </c>
      <c r="G4" s="53">
        <f>Noise!G5</f>
        <v>125.17808504409084</v>
      </c>
      <c r="H4" s="181">
        <f>Acceleration!E5</f>
        <v>50.000000000000007</v>
      </c>
      <c r="I4" s="180">
        <f>'Lab Emissions'!K5+'Lab Emissions'!O5</f>
        <v>69.3</v>
      </c>
      <c r="J4" s="180">
        <f>'In Service Emissions'!C6+'In Service Emissions'!I6</f>
        <v>0</v>
      </c>
      <c r="K4" s="180">
        <f>'Cold Start'!C4:C5</f>
        <v>0</v>
      </c>
      <c r="L4" s="180">
        <f>'Drawbar Pull'!H6</f>
        <v>100</v>
      </c>
      <c r="M4" s="180">
        <f>'Penalties and Bonuses'!J4</f>
        <v>-25</v>
      </c>
      <c r="N4" s="186">
        <f>SUM(B4:M4)</f>
        <v>600.02078845616427</v>
      </c>
      <c r="Q4" s="53"/>
    </row>
    <row r="5" spans="1:17" ht="18">
      <c r="A5" s="346" t="s">
        <v>154</v>
      </c>
      <c r="B5" s="410">
        <f>Paper!D68</f>
        <v>72.769230769230774</v>
      </c>
      <c r="C5" s="180">
        <f>Static!B6</f>
        <v>50</v>
      </c>
      <c r="D5" s="197">
        <f>MSRP!L8</f>
        <v>35.218722659667534</v>
      </c>
      <c r="E5" s="183">
        <f>'Fuel Economy-Endurance  '!E11</f>
        <v>114.58333334263304</v>
      </c>
      <c r="F5" s="180">
        <f>Oral!AL5</f>
        <v>69.730769230769226</v>
      </c>
      <c r="G5" s="53">
        <f>Noise!G6</f>
        <v>219.14923520864221</v>
      </c>
      <c r="H5" s="181">
        <f>Acceleration!E6</f>
        <v>35.611510791366918</v>
      </c>
      <c r="I5" s="180">
        <f>'Lab Emissions'!K6+'Lab Emissions'!O6</f>
        <v>70</v>
      </c>
      <c r="J5" s="180">
        <f>'In Service Emissions'!C7+'In Service Emissions'!I7</f>
        <v>99.999000000000052</v>
      </c>
      <c r="K5" s="180">
        <f>'Cold Start'!C5:C6</f>
        <v>0</v>
      </c>
      <c r="L5" s="180">
        <f>'Drawbar Pull'!H7</f>
        <v>35.384615384615387</v>
      </c>
      <c r="M5" s="180">
        <f>'Penalties and Bonuses'!J5</f>
        <v>-5</v>
      </c>
      <c r="N5" s="186">
        <f t="shared" ref="N5:N9" si="0">SUM(B5:M5)</f>
        <v>797.44641738692508</v>
      </c>
      <c r="Q5" s="53"/>
    </row>
    <row r="6" spans="1:17" ht="18">
      <c r="A6" s="346" t="s">
        <v>155</v>
      </c>
      <c r="B6" s="410">
        <f>Paper!E68</f>
        <v>70.642857142857139</v>
      </c>
      <c r="C6" s="180">
        <f>Static!B7</f>
        <v>50</v>
      </c>
      <c r="D6" s="197">
        <f>MSRP!L9</f>
        <v>49.999999999999993</v>
      </c>
      <c r="E6" s="183">
        <f>'Fuel Economy-Endurance  '!E12</f>
        <v>200</v>
      </c>
      <c r="F6" s="180">
        <f>Oral!AL6</f>
        <v>69.129629629629633</v>
      </c>
      <c r="G6" s="53">
        <f>Noise!G7</f>
        <v>59.716075583024583</v>
      </c>
      <c r="H6" s="181">
        <f>Acceleration!E7</f>
        <v>2.5</v>
      </c>
      <c r="I6" s="180">
        <f>'Lab Emissions'!K7+'Lab Emissions'!O7</f>
        <v>24.36</v>
      </c>
      <c r="J6" s="180">
        <f>'In Service Emissions'!C8+'In Service Emissions'!I8</f>
        <v>2.5</v>
      </c>
      <c r="K6" s="180">
        <f>'Cold Start'!C6:C7</f>
        <v>0</v>
      </c>
      <c r="L6" s="180">
        <f>'Drawbar Pull'!H8</f>
        <v>5</v>
      </c>
      <c r="M6" s="180">
        <f>'Penalties and Bonuses'!J6</f>
        <v>100</v>
      </c>
      <c r="N6" s="186">
        <f t="shared" si="0"/>
        <v>633.84856235551126</v>
      </c>
      <c r="Q6" s="53"/>
    </row>
    <row r="7" spans="1:17" ht="18">
      <c r="A7" s="346" t="s">
        <v>156</v>
      </c>
      <c r="B7" s="410">
        <f>Paper!F68</f>
        <v>74.3</v>
      </c>
      <c r="C7" s="180">
        <f>Static!B8</f>
        <v>50</v>
      </c>
      <c r="D7" s="197">
        <f>MSRP!L10</f>
        <v>34.438320209973739</v>
      </c>
      <c r="E7" s="183">
        <f>'Fuel Economy-Endurance  '!E13</f>
        <v>166.66666666666666</v>
      </c>
      <c r="F7" s="180">
        <f>Oral!AL7</f>
        <v>67.92307692307692</v>
      </c>
      <c r="G7" s="53">
        <f>Noise!G8</f>
        <v>300</v>
      </c>
      <c r="H7" s="181">
        <f>Acceleration!E8</f>
        <v>47.242206235011999</v>
      </c>
      <c r="I7" s="180">
        <f>'Lab Emissions'!K8+'Lab Emissions'!O8</f>
        <v>22.5</v>
      </c>
      <c r="J7" s="180">
        <f>'In Service Emissions'!C9+'In Service Emissions'!I9</f>
        <v>2.4992099999999482</v>
      </c>
      <c r="K7" s="180">
        <f>'Cold Start'!C7:C8</f>
        <v>50</v>
      </c>
      <c r="L7" s="180">
        <f>'Drawbar Pull'!H9</f>
        <v>41.025641025641029</v>
      </c>
      <c r="M7" s="180">
        <f>'Penalties and Bonuses'!J7</f>
        <v>100</v>
      </c>
      <c r="N7" s="186">
        <f t="shared" si="0"/>
        <v>956.59512106037016</v>
      </c>
      <c r="Q7" s="53"/>
    </row>
    <row r="8" spans="1:17" ht="18">
      <c r="A8" s="346" t="s">
        <v>157</v>
      </c>
      <c r="B8" s="410">
        <f>Paper!G68</f>
        <v>62.583333333333336</v>
      </c>
      <c r="C8" s="180">
        <f>Static!B9</f>
        <v>50</v>
      </c>
      <c r="D8" s="197">
        <f>MSRP!L11</f>
        <v>17</v>
      </c>
      <c r="E8" s="183">
        <f>'Fuel Economy-Endurance  '!E14</f>
        <v>0</v>
      </c>
      <c r="F8" s="180">
        <f>Oral!AL8</f>
        <v>57.846153846153847</v>
      </c>
      <c r="G8" s="53">
        <f>Noise!G9</f>
        <v>0</v>
      </c>
      <c r="H8" s="181">
        <f>Acceleration!E9</f>
        <v>0</v>
      </c>
      <c r="I8" s="180">
        <f>'Lab Emissions'!K9+'Lab Emissions'!O9</f>
        <v>0</v>
      </c>
      <c r="J8" s="180">
        <f>'In Service Emissions'!C10+'In Service Emissions'!I10</f>
        <v>0</v>
      </c>
      <c r="K8" s="180">
        <f>'Cold Start'!C8:C9</f>
        <v>0</v>
      </c>
      <c r="L8" s="180">
        <f>'Drawbar Pull'!H10</f>
        <v>0</v>
      </c>
      <c r="M8" s="180">
        <f>'Penalties and Bonuses'!J8</f>
        <v>0</v>
      </c>
      <c r="N8" s="186">
        <f t="shared" si="0"/>
        <v>187.42948717948718</v>
      </c>
      <c r="Q8" s="53"/>
    </row>
    <row r="9" spans="1:17" ht="18">
      <c r="A9" s="346" t="s">
        <v>158</v>
      </c>
      <c r="B9" s="410">
        <f>Paper!H68</f>
        <v>68.63636363636364</v>
      </c>
      <c r="C9" s="180">
        <f>Static!B10</f>
        <v>50</v>
      </c>
      <c r="D9" s="197">
        <f>MSRP!L12</f>
        <v>41.512685914260707</v>
      </c>
      <c r="E9" s="183">
        <f>'Fuel Economy-Endurance  '!E15</f>
        <v>0</v>
      </c>
      <c r="F9" s="180">
        <f>Oral!AL9</f>
        <v>74.574074074074076</v>
      </c>
      <c r="G9" s="53">
        <f>Noise!G10</f>
        <v>0</v>
      </c>
      <c r="H9" s="181">
        <f>Acceleration!E10</f>
        <v>0</v>
      </c>
      <c r="I9" s="180">
        <f>'Lab Emissions'!K10+'Lab Emissions'!O10</f>
        <v>0</v>
      </c>
      <c r="J9" s="180">
        <f>'In Service Emissions'!C11+'In Service Emissions'!I11</f>
        <v>0</v>
      </c>
      <c r="K9" s="180">
        <f>'Cold Start'!C9:C10</f>
        <v>0</v>
      </c>
      <c r="L9" s="180">
        <f>'Drawbar Pull'!H11</f>
        <v>0</v>
      </c>
      <c r="M9" s="180">
        <f>'Penalties and Bonuses'!J9</f>
        <v>0</v>
      </c>
      <c r="N9" s="186">
        <f t="shared" si="0"/>
        <v>234.72312362469842</v>
      </c>
      <c r="Q9" s="53"/>
    </row>
    <row r="10" spans="1:17">
      <c r="A10" s="2" t="s">
        <v>38</v>
      </c>
      <c r="B10" s="2" t="s">
        <v>38</v>
      </c>
      <c r="C10" s="2" t="s">
        <v>38</v>
      </c>
      <c r="D10" s="2" t="s">
        <v>38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38</v>
      </c>
      <c r="J10" s="2" t="s">
        <v>38</v>
      </c>
      <c r="K10" s="2" t="s">
        <v>38</v>
      </c>
      <c r="L10" s="2" t="s">
        <v>38</v>
      </c>
      <c r="M10" s="13"/>
    </row>
    <row r="11" spans="1:17">
      <c r="A11" s="19"/>
      <c r="B11" s="19"/>
      <c r="C11" s="16" t="s">
        <v>17</v>
      </c>
      <c r="D11" s="16"/>
      <c r="E11" s="16"/>
      <c r="F11" s="30"/>
      <c r="G11" s="30"/>
      <c r="H11" s="58"/>
      <c r="K11" s="47"/>
      <c r="L11" s="31"/>
      <c r="M11" s="9"/>
    </row>
    <row r="12" spans="1:17">
      <c r="A12" s="19"/>
      <c r="B12" s="19"/>
      <c r="C12" s="19" t="s">
        <v>19</v>
      </c>
      <c r="D12" s="5"/>
      <c r="E12" s="5"/>
      <c r="F12" s="19" t="s">
        <v>20</v>
      </c>
      <c r="G12" s="19" t="s">
        <v>22</v>
      </c>
      <c r="K12" s="47"/>
      <c r="L12" s="31"/>
      <c r="M12" s="9"/>
    </row>
    <row r="13" spans="1:17">
      <c r="A13" s="19"/>
      <c r="B13" s="19"/>
      <c r="C13" s="19" t="s">
        <v>18</v>
      </c>
      <c r="D13" s="5"/>
      <c r="E13" s="5"/>
      <c r="F13" s="19" t="s">
        <v>8</v>
      </c>
      <c r="G13" s="19" t="s">
        <v>21</v>
      </c>
      <c r="K13" s="47"/>
      <c r="L13" s="31"/>
      <c r="M13" s="9"/>
    </row>
    <row r="14" spans="1:17" ht="18">
      <c r="A14" s="346" t="s">
        <v>153</v>
      </c>
      <c r="B14" s="70"/>
      <c r="C14" s="123">
        <f t="shared" ref="C14:C19" si="1">IF(AND(I4&gt;0,G4&gt;0,H4&gt;0),(B4+F4+C4),"Not Eligible")</f>
        <v>164.83666666666667</v>
      </c>
      <c r="D14" s="283"/>
      <c r="E14" s="283"/>
      <c r="F14" s="16">
        <f t="shared" ref="F14:F19" si="2">SUM(B4:M4)</f>
        <v>600.02078845616427</v>
      </c>
      <c r="G14" s="5">
        <f>RANK(F14,$F$14:$F$19)</f>
        <v>4</v>
      </c>
      <c r="H14" s="124"/>
      <c r="K14" s="47"/>
      <c r="L14" s="31"/>
      <c r="M14" s="18"/>
    </row>
    <row r="15" spans="1:17" ht="18">
      <c r="A15" s="346" t="s">
        <v>154</v>
      </c>
      <c r="B15" s="70"/>
      <c r="C15" s="123">
        <f t="shared" si="1"/>
        <v>192.5</v>
      </c>
      <c r="D15" s="283"/>
      <c r="E15" s="283"/>
      <c r="F15" s="16">
        <f t="shared" si="2"/>
        <v>797.44641738692508</v>
      </c>
      <c r="G15" s="5">
        <f t="shared" ref="G15:G19" si="3">RANK(F15,$F$14:$F$19)</f>
        <v>2</v>
      </c>
      <c r="H15" s="124"/>
      <c r="K15" s="47"/>
      <c r="L15" s="31"/>
      <c r="M15" s="18"/>
    </row>
    <row r="16" spans="1:17" ht="18">
      <c r="A16" s="346" t="s">
        <v>155</v>
      </c>
      <c r="B16" s="70"/>
      <c r="C16" s="123">
        <f t="shared" si="1"/>
        <v>189.77248677248679</v>
      </c>
      <c r="D16" s="283"/>
      <c r="E16" s="283"/>
      <c r="F16" s="16">
        <f t="shared" si="2"/>
        <v>633.84856235551126</v>
      </c>
      <c r="G16" s="5">
        <f t="shared" si="3"/>
        <v>3</v>
      </c>
      <c r="H16" s="124"/>
      <c r="K16" s="47"/>
      <c r="L16" s="31"/>
      <c r="M16" s="18"/>
    </row>
    <row r="17" spans="1:13" ht="18">
      <c r="A17" s="346" t="s">
        <v>156</v>
      </c>
      <c r="B17" s="70"/>
      <c r="C17" s="123">
        <f t="shared" si="1"/>
        <v>192.22307692307692</v>
      </c>
      <c r="D17" s="283"/>
      <c r="E17" s="283"/>
      <c r="F17" s="16">
        <f t="shared" si="2"/>
        <v>956.59512106037016</v>
      </c>
      <c r="G17" s="5">
        <f t="shared" si="3"/>
        <v>1</v>
      </c>
      <c r="H17" s="124"/>
      <c r="K17" s="47"/>
      <c r="L17" s="31"/>
      <c r="M17" s="18"/>
    </row>
    <row r="18" spans="1:13" ht="18">
      <c r="A18" s="346" t="s">
        <v>157</v>
      </c>
      <c r="B18" s="70"/>
      <c r="C18" s="70" t="str">
        <f t="shared" si="1"/>
        <v>Not Eligible</v>
      </c>
      <c r="D18" s="283"/>
      <c r="E18" s="283"/>
      <c r="F18" s="16">
        <f t="shared" si="2"/>
        <v>187.42948717948718</v>
      </c>
      <c r="G18" s="5">
        <f t="shared" si="3"/>
        <v>6</v>
      </c>
      <c r="H18" s="124"/>
      <c r="K18" s="47"/>
      <c r="L18" s="31"/>
      <c r="M18" s="18"/>
    </row>
    <row r="19" spans="1:13" ht="18">
      <c r="A19" s="346" t="s">
        <v>158</v>
      </c>
      <c r="B19" s="70"/>
      <c r="C19" s="70" t="str">
        <f t="shared" si="1"/>
        <v>Not Eligible</v>
      </c>
      <c r="D19" s="283"/>
      <c r="E19" s="283"/>
      <c r="F19" s="16">
        <f t="shared" si="2"/>
        <v>234.72312362469842</v>
      </c>
      <c r="G19" s="5">
        <f t="shared" si="3"/>
        <v>5</v>
      </c>
      <c r="K19" s="47"/>
      <c r="L19" s="31"/>
      <c r="M19" s="18"/>
    </row>
    <row r="20" spans="1:13" s="58" customFormat="1">
      <c r="A20" s="110"/>
      <c r="B20" s="141"/>
      <c r="C20" s="141"/>
      <c r="D20" s="142"/>
      <c r="E20" s="142"/>
      <c r="F20" s="139"/>
      <c r="G20" s="143"/>
      <c r="H20" s="59"/>
      <c r="I20" s="33"/>
      <c r="J20" s="114"/>
      <c r="K20" s="59"/>
      <c r="L20" s="59"/>
      <c r="M20" s="59"/>
    </row>
    <row r="21" spans="1:13" s="58" customFormat="1" ht="15">
      <c r="A21" s="456" t="s">
        <v>204</v>
      </c>
      <c r="B21" s="282" t="s">
        <v>205</v>
      </c>
      <c r="C21" s="443">
        <f>MAX(C14:C19)</f>
        <v>192.5</v>
      </c>
      <c r="D21" s="282"/>
      <c r="E21" s="282"/>
      <c r="F21" s="183"/>
      <c r="G21" s="282"/>
      <c r="H21" s="59"/>
      <c r="I21" s="33"/>
      <c r="J21" s="114"/>
      <c r="K21" s="59"/>
      <c r="L21" s="59"/>
      <c r="M21" s="59"/>
    </row>
    <row r="22" spans="1:13" s="58" customFormat="1">
      <c r="C22" s="125"/>
      <c r="E22" s="70"/>
      <c r="F22" s="33"/>
      <c r="G22" s="59"/>
      <c r="H22" s="59"/>
      <c r="I22" s="33"/>
      <c r="J22" s="114"/>
      <c r="K22" s="59"/>
      <c r="L22" s="59"/>
      <c r="M22" s="59"/>
    </row>
    <row r="23" spans="1:13" s="58" customFormat="1" ht="13.8">
      <c r="A23" s="340"/>
      <c r="B23" s="447"/>
      <c r="C23" s="447"/>
      <c r="D23" s="447"/>
      <c r="E23" s="70"/>
      <c r="F23" s="33"/>
      <c r="G23" s="59"/>
      <c r="H23" s="34"/>
      <c r="I23" s="149"/>
      <c r="J23" s="114"/>
      <c r="K23" s="34"/>
      <c r="L23" s="34"/>
      <c r="M23" s="34"/>
    </row>
    <row r="24" spans="1:13" s="58" customFormat="1" ht="39.6" customHeight="1">
      <c r="A24" s="341"/>
      <c r="B24" s="452" t="s">
        <v>206</v>
      </c>
      <c r="C24" s="452"/>
      <c r="D24" s="452"/>
      <c r="E24" s="70"/>
      <c r="F24" s="33"/>
      <c r="G24" s="59"/>
      <c r="H24" s="34"/>
      <c r="I24" s="149"/>
      <c r="J24" s="114"/>
      <c r="K24" s="34"/>
      <c r="L24" s="34"/>
      <c r="M24" s="34"/>
    </row>
    <row r="25" spans="1:13" s="58" customFormat="1" ht="19.5" customHeight="1">
      <c r="A25" s="341"/>
      <c r="B25" s="447"/>
      <c r="C25" s="447"/>
      <c r="D25" s="447"/>
      <c r="E25" s="70"/>
      <c r="F25" s="33"/>
      <c r="G25" s="59"/>
      <c r="H25" s="34"/>
      <c r="I25" s="149"/>
      <c r="J25" s="114"/>
      <c r="K25" s="34"/>
      <c r="L25" s="34"/>
      <c r="M25" s="34"/>
    </row>
    <row r="26" spans="1:13" s="58" customFormat="1" ht="14.4" customHeight="1">
      <c r="A26" s="341"/>
      <c r="B26" s="451"/>
      <c r="C26" s="451"/>
      <c r="D26" s="451"/>
      <c r="E26" s="70"/>
      <c r="F26" s="34"/>
      <c r="G26" s="34"/>
      <c r="H26" s="34"/>
      <c r="I26" s="149"/>
      <c r="J26" s="114"/>
      <c r="K26" s="34"/>
      <c r="L26" s="34"/>
      <c r="M26" s="34"/>
    </row>
    <row r="27" spans="1:13" s="58" customFormat="1" ht="14.4" customHeight="1">
      <c r="A27" s="341"/>
      <c r="B27" s="451"/>
      <c r="C27" s="451"/>
      <c r="D27" s="451"/>
      <c r="E27" s="183"/>
      <c r="F27" s="34"/>
      <c r="G27" s="34"/>
      <c r="H27" s="34"/>
      <c r="I27" s="149"/>
      <c r="J27" s="114"/>
      <c r="K27" s="34"/>
      <c r="L27" s="34"/>
      <c r="M27" s="34"/>
    </row>
    <row r="28" spans="1:13" s="58" customFormat="1" ht="14.4" customHeight="1">
      <c r="A28" s="341"/>
      <c r="B28" s="450"/>
      <c r="C28" s="450"/>
      <c r="D28" s="450"/>
      <c r="E28" s="70"/>
      <c r="F28" s="34"/>
      <c r="G28" s="34"/>
      <c r="H28" s="34"/>
      <c r="I28" s="149"/>
      <c r="J28" s="114"/>
      <c r="K28" s="34"/>
      <c r="L28" s="34"/>
      <c r="M28" s="34"/>
    </row>
    <row r="29" spans="1:13" ht="14.4" customHeight="1">
      <c r="A29" s="342"/>
      <c r="B29" s="451"/>
      <c r="C29" s="451"/>
      <c r="D29" s="451"/>
      <c r="E29" s="70"/>
    </row>
    <row r="30" spans="1:13" s="58" customFormat="1" ht="14.4" customHeight="1">
      <c r="A30" s="341"/>
      <c r="B30" s="451"/>
      <c r="C30" s="451"/>
      <c r="D30" s="451"/>
      <c r="E30" s="70"/>
      <c r="F30" s="34"/>
      <c r="G30" s="34"/>
      <c r="H30" s="34"/>
      <c r="I30" s="149"/>
      <c r="J30" s="114"/>
      <c r="K30" s="34"/>
      <c r="L30" s="34"/>
      <c r="M30" s="34"/>
    </row>
    <row r="31" spans="1:13" s="58" customFormat="1" ht="14.4" customHeight="1">
      <c r="A31" s="341"/>
      <c r="B31" s="451"/>
      <c r="C31" s="451"/>
      <c r="D31" s="451"/>
      <c r="E31" s="70"/>
      <c r="F31" s="34"/>
      <c r="G31" s="34"/>
      <c r="H31" s="34"/>
      <c r="I31" s="149"/>
      <c r="J31" s="114"/>
      <c r="K31" s="34"/>
      <c r="L31" s="34"/>
      <c r="M31" s="34"/>
    </row>
    <row r="32" spans="1:13" s="58" customFormat="1" ht="14.4" customHeight="1">
      <c r="A32" s="341"/>
      <c r="B32" s="451"/>
      <c r="C32" s="451"/>
      <c r="D32" s="451"/>
      <c r="E32" s="70"/>
      <c r="F32" s="34"/>
      <c r="G32" s="34"/>
      <c r="H32" s="34"/>
      <c r="I32" s="149"/>
      <c r="J32" s="114"/>
      <c r="K32" s="34"/>
      <c r="L32" s="34"/>
      <c r="M32" s="34"/>
    </row>
    <row r="33" spans="1:13" ht="14.4" customHeight="1">
      <c r="A33" s="343"/>
      <c r="B33" s="448"/>
      <c r="C33" s="448"/>
      <c r="D33" s="448"/>
      <c r="E33" s="70"/>
      <c r="F33" s="34"/>
      <c r="G33" s="34"/>
      <c r="H33" s="6"/>
      <c r="I33" s="147"/>
      <c r="J33" s="17"/>
      <c r="K33" s="6"/>
      <c r="L33" s="6"/>
      <c r="M33" s="6"/>
    </row>
    <row r="34" spans="1:13" ht="14.4" customHeight="1">
      <c r="A34" s="343"/>
      <c r="B34" s="448"/>
      <c r="C34" s="448"/>
      <c r="D34" s="448"/>
      <c r="E34" s="70"/>
      <c r="F34" s="34"/>
      <c r="G34" s="34"/>
    </row>
    <row r="35" spans="1:13" ht="18" customHeight="1">
      <c r="A35" s="344"/>
      <c r="B35" s="447"/>
      <c r="C35" s="447"/>
      <c r="D35" s="447"/>
      <c r="E35" s="70"/>
      <c r="F35" s="6"/>
      <c r="G35" s="6"/>
    </row>
    <row r="36" spans="1:13" ht="13.8">
      <c r="A36" s="344"/>
      <c r="B36" s="448"/>
      <c r="C36" s="448"/>
      <c r="D36" s="448"/>
      <c r="E36" s="70"/>
    </row>
    <row r="37" spans="1:13" ht="13.8">
      <c r="A37" s="343"/>
      <c r="B37" s="449"/>
      <c r="C37" s="449"/>
      <c r="D37" s="449"/>
      <c r="E37" s="70"/>
    </row>
    <row r="38" spans="1:13" ht="13.8">
      <c r="A38" s="345"/>
      <c r="B38" s="449"/>
      <c r="C38" s="449"/>
      <c r="D38" s="449"/>
      <c r="E38" s="70"/>
    </row>
    <row r="39" spans="1:13" ht="13.8">
      <c r="A39" s="345"/>
      <c r="B39" s="449"/>
      <c r="C39" s="449"/>
      <c r="D39" s="449"/>
      <c r="E39" s="70"/>
    </row>
    <row r="40" spans="1:13" ht="13.8">
      <c r="A40" s="343"/>
      <c r="B40" s="449"/>
      <c r="C40" s="449"/>
      <c r="D40" s="449"/>
      <c r="E40" s="70"/>
    </row>
    <row r="41" spans="1:13" ht="13.8">
      <c r="A41" s="345"/>
      <c r="B41" s="449"/>
      <c r="C41" s="449"/>
      <c r="D41" s="449"/>
      <c r="E41" s="70"/>
    </row>
    <row r="42" spans="1:13" ht="13.8">
      <c r="A42" s="345"/>
      <c r="B42" s="449"/>
      <c r="C42" s="449"/>
      <c r="D42" s="449"/>
      <c r="E42" s="70"/>
    </row>
    <row r="43" spans="1:13" ht="14.4">
      <c r="A43" s="306"/>
      <c r="B43" s="309"/>
      <c r="C43" s="307"/>
      <c r="D43" s="307"/>
      <c r="E43" s="70"/>
    </row>
    <row r="44" spans="1:13" ht="14.4">
      <c r="A44" s="235"/>
      <c r="B44" s="279"/>
      <c r="C44" s="131"/>
      <c r="D44" s="308"/>
      <c r="E44" s="70"/>
    </row>
    <row r="45" spans="1:13" s="1" customFormat="1" ht="14.4">
      <c r="A45" s="247"/>
      <c r="B45" s="279"/>
      <c r="C45" s="16"/>
      <c r="D45" s="24"/>
      <c r="E45" s="70"/>
      <c r="I45" s="151"/>
      <c r="J45" s="54"/>
    </row>
    <row r="46" spans="1:13" s="1" customFormat="1">
      <c r="A46" s="152"/>
      <c r="B46" s="280"/>
      <c r="C46" s="281"/>
      <c r="I46" s="151"/>
      <c r="J46" s="54"/>
    </row>
    <row r="47" spans="1:13" s="1" customFormat="1">
      <c r="A47" s="152"/>
      <c r="C47" s="54"/>
      <c r="I47" s="151"/>
      <c r="J47" s="54"/>
    </row>
    <row r="48" spans="1:13" s="1" customFormat="1">
      <c r="A48" s="152"/>
      <c r="C48" s="54"/>
      <c r="I48" s="151"/>
      <c r="J48" s="54"/>
    </row>
    <row r="49" spans="1:10" s="1" customFormat="1">
      <c r="A49" s="152"/>
      <c r="C49" s="54"/>
      <c r="I49" s="151"/>
      <c r="J49" s="54"/>
    </row>
    <row r="50" spans="1:10" s="1" customFormat="1">
      <c r="A50" s="152"/>
      <c r="C50" s="54"/>
      <c r="I50" s="151"/>
      <c r="J50" s="54"/>
    </row>
    <row r="51" spans="1:10" s="1" customFormat="1">
      <c r="A51" s="152"/>
      <c r="C51" s="54"/>
      <c r="I51" s="151"/>
      <c r="J51" s="54"/>
    </row>
    <row r="52" spans="1:10" s="1" customFormat="1">
      <c r="A52" s="152"/>
      <c r="C52" s="54"/>
      <c r="I52" s="151"/>
      <c r="J52" s="54"/>
    </row>
  </sheetData>
  <mergeCells count="20">
    <mergeCell ref="B25:D25"/>
    <mergeCell ref="B26:D26"/>
    <mergeCell ref="B24:D24"/>
    <mergeCell ref="B23:D23"/>
    <mergeCell ref="B27:D27"/>
    <mergeCell ref="B28:D28"/>
    <mergeCell ref="B29:D29"/>
    <mergeCell ref="B34:D34"/>
    <mergeCell ref="B30:D30"/>
    <mergeCell ref="B31:D31"/>
    <mergeCell ref="B33:D33"/>
    <mergeCell ref="B32:D32"/>
    <mergeCell ref="B35:D35"/>
    <mergeCell ref="B36:D36"/>
    <mergeCell ref="B37:D37"/>
    <mergeCell ref="B42:D42"/>
    <mergeCell ref="B38:D38"/>
    <mergeCell ref="B39:D39"/>
    <mergeCell ref="B41:D41"/>
    <mergeCell ref="B40:D40"/>
  </mergeCells>
  <phoneticPr fontId="19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86"/>
  <sheetViews>
    <sheetView zoomScale="97" zoomScaleNormal="97" zoomScalePageLayoutView="125" workbookViewId="0">
      <selection activeCell="O5" sqref="O5:O8"/>
    </sheetView>
  </sheetViews>
  <sheetFormatPr defaultColWidth="8.88671875" defaultRowHeight="13.2"/>
  <cols>
    <col min="1" max="1" width="48.33203125" customWidth="1"/>
    <col min="2" max="3" width="12.44140625" style="231" customWidth="1"/>
    <col min="4" max="4" width="8.44140625" style="231" customWidth="1"/>
    <col min="5" max="5" width="12.44140625" style="231" customWidth="1"/>
    <col min="6" max="6" width="10.6640625" style="231" customWidth="1"/>
    <col min="7" max="8" width="12.44140625" style="231" customWidth="1"/>
    <col min="9" max="9" width="9.33203125" customWidth="1"/>
    <col min="10" max="10" width="9.33203125" style="273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37" customWidth="1"/>
    <col min="25" max="25" width="10" style="37" customWidth="1"/>
    <col min="26" max="27" width="8.6640625" style="37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8" thickBot="1">
      <c r="A1" s="102" t="s">
        <v>174</v>
      </c>
      <c r="B1" s="7"/>
      <c r="C1" s="177"/>
      <c r="D1" s="177"/>
      <c r="E1" s="177"/>
      <c r="F1" s="177"/>
      <c r="G1" s="177"/>
      <c r="H1" s="177"/>
      <c r="I1" s="20"/>
      <c r="J1" s="265" t="s">
        <v>76</v>
      </c>
      <c r="K1" s="157"/>
      <c r="L1" s="157"/>
      <c r="M1" s="20"/>
      <c r="N1" s="156" t="s">
        <v>77</v>
      </c>
      <c r="O1" s="157"/>
      <c r="P1" s="157"/>
      <c r="Q1" s="25"/>
      <c r="R1" s="103"/>
      <c r="S1" s="72"/>
      <c r="T1" s="73"/>
      <c r="U1" s="73"/>
      <c r="V1" s="73"/>
      <c r="W1" s="73"/>
      <c r="X1" s="73"/>
      <c r="Y1" s="73"/>
      <c r="Z1" s="73"/>
      <c r="AA1" s="73"/>
      <c r="AB1" s="74"/>
      <c r="AC1" s="75"/>
      <c r="AD1" s="76"/>
      <c r="AE1" s="54"/>
      <c r="AF1" s="1"/>
      <c r="AG1" s="1"/>
      <c r="AH1" s="1"/>
    </row>
    <row r="2" spans="1:37" ht="18" thickBot="1">
      <c r="A2" s="305"/>
      <c r="B2" s="7"/>
      <c r="C2" s="177"/>
      <c r="D2" s="177"/>
      <c r="E2" s="177"/>
      <c r="F2" s="177"/>
      <c r="G2" s="177"/>
      <c r="H2" s="189"/>
      <c r="I2" s="23"/>
      <c r="J2" s="266" t="s">
        <v>78</v>
      </c>
      <c r="K2" s="158"/>
      <c r="L2" s="159"/>
      <c r="M2" s="20"/>
      <c r="N2" s="160" t="s">
        <v>79</v>
      </c>
      <c r="O2" s="158"/>
      <c r="P2" s="159"/>
      <c r="Q2" s="46"/>
      <c r="R2" s="105"/>
      <c r="S2" s="79"/>
      <c r="T2" s="79"/>
      <c r="U2" s="73"/>
      <c r="V2" s="73"/>
      <c r="W2" s="73"/>
      <c r="X2" s="73"/>
      <c r="Y2" s="73"/>
      <c r="Z2" s="73"/>
      <c r="AA2" s="73"/>
      <c r="AB2" s="74"/>
      <c r="AC2" s="75"/>
      <c r="AD2" s="76"/>
      <c r="AE2" s="54"/>
      <c r="AF2" s="1"/>
      <c r="AG2" s="1"/>
      <c r="AH2" s="1"/>
    </row>
    <row r="3" spans="1:37" ht="15.6">
      <c r="A3" s="304"/>
      <c r="B3" s="57"/>
      <c r="C3" s="189"/>
      <c r="D3" s="189"/>
      <c r="E3" s="189"/>
      <c r="F3" s="189"/>
      <c r="G3" s="189"/>
      <c r="J3" s="267"/>
      <c r="K3" s="23"/>
      <c r="L3" s="161"/>
      <c r="M3" s="23"/>
      <c r="N3" s="162"/>
      <c r="O3" s="23"/>
      <c r="P3" s="161"/>
      <c r="Q3" s="22"/>
      <c r="R3" s="106"/>
      <c r="S3" s="81"/>
      <c r="T3" s="79"/>
      <c r="U3" s="73"/>
      <c r="V3" s="73"/>
      <c r="W3" s="73"/>
      <c r="X3" s="73"/>
      <c r="Y3" s="73"/>
      <c r="Z3" s="73"/>
      <c r="AA3" s="73"/>
      <c r="AB3" s="74"/>
      <c r="AC3" s="75"/>
      <c r="AD3" s="76"/>
      <c r="AE3" s="54"/>
      <c r="AF3" s="1"/>
      <c r="AG3" s="1"/>
      <c r="AH3" s="1"/>
    </row>
    <row r="4" spans="1:37" ht="52.8">
      <c r="A4" s="163" t="s">
        <v>80</v>
      </c>
      <c r="B4" s="165" t="s">
        <v>81</v>
      </c>
      <c r="C4" s="164" t="s">
        <v>82</v>
      </c>
      <c r="D4" s="164" t="s">
        <v>83</v>
      </c>
      <c r="E4" s="164" t="s">
        <v>84</v>
      </c>
      <c r="F4" s="164" t="s">
        <v>85</v>
      </c>
      <c r="G4" s="165" t="s">
        <v>107</v>
      </c>
      <c r="H4" s="164" t="s">
        <v>86</v>
      </c>
      <c r="I4" s="166"/>
      <c r="J4" s="268" t="s">
        <v>87</v>
      </c>
      <c r="K4" s="165" t="s">
        <v>88</v>
      </c>
      <c r="L4" s="168" t="s">
        <v>89</v>
      </c>
      <c r="M4" s="169"/>
      <c r="N4" s="167" t="s">
        <v>90</v>
      </c>
      <c r="O4" s="165" t="s">
        <v>98</v>
      </c>
      <c r="P4" s="168" t="s">
        <v>71</v>
      </c>
      <c r="Q4" s="22"/>
      <c r="R4" s="106"/>
      <c r="S4" s="81"/>
      <c r="T4" s="79"/>
      <c r="U4" s="73"/>
      <c r="V4" s="73"/>
      <c r="W4" s="73"/>
      <c r="X4" s="73"/>
      <c r="Y4" s="73"/>
      <c r="Z4" s="73"/>
      <c r="AA4" s="73"/>
      <c r="AB4" s="74"/>
      <c r="AC4" s="75"/>
      <c r="AD4" s="76"/>
      <c r="AE4" s="54"/>
      <c r="AF4" s="1"/>
      <c r="AG4" s="1"/>
      <c r="AH4" s="1"/>
    </row>
    <row r="5" spans="1:37" ht="18">
      <c r="A5" s="379" t="s">
        <v>153</v>
      </c>
      <c r="B5" s="347" t="s">
        <v>175</v>
      </c>
      <c r="C5" s="347" t="s">
        <v>175</v>
      </c>
      <c r="D5" s="347" t="s">
        <v>175</v>
      </c>
      <c r="E5" s="347" t="s">
        <v>175</v>
      </c>
      <c r="F5" s="347" t="s">
        <v>175</v>
      </c>
      <c r="G5" s="347" t="s">
        <v>194</v>
      </c>
      <c r="H5" s="347" t="s">
        <v>194</v>
      </c>
      <c r="I5" s="377"/>
      <c r="J5" s="427">
        <v>206.63</v>
      </c>
      <c r="K5" s="427">
        <v>20</v>
      </c>
      <c r="L5" s="427">
        <v>1</v>
      </c>
      <c r="M5" s="347"/>
      <c r="N5" s="427">
        <v>317.07</v>
      </c>
      <c r="O5" s="446">
        <v>49.3</v>
      </c>
      <c r="P5" s="427">
        <v>2</v>
      </c>
      <c r="Q5" s="25"/>
      <c r="R5" s="428">
        <f>K5+O5</f>
        <v>69.3</v>
      </c>
      <c r="S5" s="72"/>
      <c r="T5" s="72"/>
      <c r="U5" s="72"/>
      <c r="V5" s="72"/>
      <c r="W5" s="72"/>
      <c r="X5" s="72"/>
      <c r="Y5" s="72"/>
      <c r="Z5" s="72"/>
      <c r="AA5" s="72"/>
      <c r="AB5" s="71"/>
      <c r="AC5" s="82"/>
      <c r="AD5" s="83"/>
    </row>
    <row r="6" spans="1:37" ht="18">
      <c r="A6" s="379" t="s">
        <v>154</v>
      </c>
      <c r="B6" s="347" t="s">
        <v>175</v>
      </c>
      <c r="C6" s="347" t="s">
        <v>175</v>
      </c>
      <c r="D6" s="347" t="s">
        <v>175</v>
      </c>
      <c r="E6" s="347" t="s">
        <v>175</v>
      </c>
      <c r="F6" s="347" t="s">
        <v>175</v>
      </c>
      <c r="G6" s="347" t="s">
        <v>194</v>
      </c>
      <c r="H6" s="347" t="s">
        <v>194</v>
      </c>
      <c r="I6" s="394"/>
      <c r="J6" s="427">
        <v>206.05</v>
      </c>
      <c r="K6" s="427">
        <v>20</v>
      </c>
      <c r="L6" s="427">
        <v>2</v>
      </c>
      <c r="M6" s="347"/>
      <c r="N6" s="427">
        <v>316.16000000000003</v>
      </c>
      <c r="O6" s="446">
        <v>50</v>
      </c>
      <c r="P6" s="427">
        <v>1</v>
      </c>
      <c r="Q6" s="395"/>
      <c r="R6" s="428">
        <f t="shared" ref="R6:R8" si="0">K6+O6</f>
        <v>70</v>
      </c>
      <c r="S6" s="72"/>
      <c r="T6" s="72"/>
      <c r="U6" s="72"/>
      <c r="V6" s="72"/>
      <c r="W6" s="72"/>
      <c r="X6" s="72"/>
      <c r="Y6" s="72"/>
      <c r="Z6" s="72"/>
      <c r="AA6" s="72"/>
      <c r="AB6" s="71"/>
      <c r="AC6" s="82"/>
      <c r="AD6" s="83"/>
      <c r="AJ6" s="28"/>
      <c r="AK6" s="28"/>
    </row>
    <row r="7" spans="1:37" ht="18">
      <c r="A7" s="379" t="s">
        <v>155</v>
      </c>
      <c r="B7" s="347" t="s">
        <v>175</v>
      </c>
      <c r="C7" s="347" t="s">
        <v>175</v>
      </c>
      <c r="D7" s="347" t="s">
        <v>175</v>
      </c>
      <c r="E7" s="347" t="s">
        <v>175</v>
      </c>
      <c r="F7" s="347" t="s">
        <v>175</v>
      </c>
      <c r="G7" s="347" t="s">
        <v>194</v>
      </c>
      <c r="H7" s="347" t="s">
        <v>194</v>
      </c>
      <c r="I7" s="377"/>
      <c r="J7" s="427">
        <v>206.33</v>
      </c>
      <c r="K7" s="427">
        <v>20</v>
      </c>
      <c r="L7" s="427">
        <v>3</v>
      </c>
      <c r="M7" s="347"/>
      <c r="N7" s="427">
        <v>375.72</v>
      </c>
      <c r="O7" s="446">
        <v>4.3600000000000003</v>
      </c>
      <c r="P7" s="427">
        <v>3</v>
      </c>
      <c r="Q7" s="25"/>
      <c r="R7" s="428">
        <f t="shared" si="0"/>
        <v>24.36</v>
      </c>
      <c r="S7" s="72"/>
      <c r="T7" s="87"/>
      <c r="U7" s="87"/>
      <c r="V7" s="87"/>
      <c r="W7" s="87"/>
      <c r="X7" s="87"/>
      <c r="Y7" s="87"/>
      <c r="Z7" s="87"/>
      <c r="AA7" s="87"/>
      <c r="AB7" s="96"/>
      <c r="AC7" s="94"/>
      <c r="AD7" s="97"/>
      <c r="AE7" s="42"/>
      <c r="AF7" s="29"/>
      <c r="AG7" s="29"/>
      <c r="AH7" s="29"/>
      <c r="AI7" s="29"/>
      <c r="AJ7" s="28"/>
      <c r="AK7" s="28"/>
    </row>
    <row r="8" spans="1:37" ht="18">
      <c r="A8" s="379" t="s">
        <v>156</v>
      </c>
      <c r="B8" s="347" t="s">
        <v>175</v>
      </c>
      <c r="C8" s="347" t="s">
        <v>175</v>
      </c>
      <c r="D8" s="347" t="s">
        <v>175</v>
      </c>
      <c r="E8" s="347" t="s">
        <v>175</v>
      </c>
      <c r="F8" s="347" t="s">
        <v>175</v>
      </c>
      <c r="G8" s="347" t="s">
        <v>194</v>
      </c>
      <c r="H8" s="347" t="s">
        <v>194</v>
      </c>
      <c r="I8" s="377"/>
      <c r="J8" s="427">
        <v>206.48</v>
      </c>
      <c r="K8" s="427">
        <v>20</v>
      </c>
      <c r="L8" s="427">
        <v>4</v>
      </c>
      <c r="M8" s="347"/>
      <c r="N8" s="427">
        <v>378.15</v>
      </c>
      <c r="O8" s="446">
        <v>2.5</v>
      </c>
      <c r="P8" s="427">
        <v>4</v>
      </c>
      <c r="Q8" s="25"/>
      <c r="R8" s="428">
        <f t="shared" si="0"/>
        <v>22.5</v>
      </c>
      <c r="S8" s="72"/>
      <c r="T8" s="98"/>
      <c r="U8" s="98"/>
      <c r="V8" s="98"/>
      <c r="W8" s="98"/>
      <c r="X8" s="98"/>
      <c r="Y8" s="98"/>
      <c r="Z8" s="98"/>
      <c r="AA8" s="98"/>
      <c r="AB8" s="89"/>
      <c r="AC8" s="95"/>
      <c r="AD8" s="99"/>
      <c r="AE8" s="42"/>
      <c r="AF8" s="29"/>
      <c r="AG8" s="29"/>
      <c r="AH8" s="29"/>
      <c r="AI8" s="29"/>
      <c r="AJ8" s="28"/>
      <c r="AK8" s="28"/>
    </row>
    <row r="9" spans="1:37" ht="18">
      <c r="A9" s="379" t="s">
        <v>157</v>
      </c>
      <c r="B9" s="376"/>
      <c r="C9" s="376"/>
      <c r="D9" s="376"/>
      <c r="E9" s="376"/>
      <c r="F9" s="376"/>
      <c r="G9" s="376"/>
      <c r="H9" s="376"/>
      <c r="I9" s="377"/>
      <c r="J9" s="376"/>
      <c r="K9" s="376"/>
      <c r="L9" s="380"/>
      <c r="M9" s="380"/>
      <c r="N9" s="376"/>
      <c r="O9" s="376"/>
      <c r="P9" s="328"/>
      <c r="Q9" s="25"/>
      <c r="R9" s="198"/>
      <c r="S9" s="72"/>
      <c r="T9" s="98"/>
      <c r="U9" s="98"/>
      <c r="V9" s="98"/>
      <c r="W9" s="98"/>
      <c r="X9" s="98"/>
      <c r="Y9" s="98"/>
      <c r="Z9" s="98"/>
      <c r="AA9" s="98"/>
      <c r="AB9" s="89"/>
      <c r="AC9" s="95"/>
      <c r="AD9" s="99"/>
      <c r="AE9" s="42"/>
      <c r="AF9" s="29"/>
      <c r="AG9" s="29"/>
      <c r="AH9" s="29"/>
      <c r="AI9" s="29"/>
      <c r="AJ9" s="28"/>
      <c r="AK9" s="28"/>
    </row>
    <row r="10" spans="1:37" ht="18">
      <c r="A10" s="379" t="s">
        <v>158</v>
      </c>
      <c r="B10" s="376"/>
      <c r="C10" s="376"/>
      <c r="D10" s="376"/>
      <c r="E10" s="376"/>
      <c r="F10" s="376"/>
      <c r="G10" s="376"/>
      <c r="H10" s="376"/>
      <c r="I10" s="377"/>
      <c r="J10" s="376"/>
      <c r="K10" s="376"/>
      <c r="L10" s="380"/>
      <c r="M10" s="380"/>
      <c r="N10" s="376"/>
      <c r="O10" s="376"/>
      <c r="P10" s="328"/>
      <c r="Q10" s="25"/>
      <c r="R10" s="198"/>
      <c r="S10" s="72"/>
      <c r="T10" s="98"/>
      <c r="U10" s="98"/>
      <c r="V10" s="98"/>
      <c r="W10" s="98"/>
      <c r="X10" s="98"/>
      <c r="Y10" s="98"/>
      <c r="Z10" s="98"/>
      <c r="AA10" s="98"/>
      <c r="AB10" s="89"/>
      <c r="AC10" s="100"/>
      <c r="AD10" s="99"/>
    </row>
    <row r="11" spans="1:37">
      <c r="A11" s="77"/>
      <c r="B11" s="381"/>
      <c r="C11" s="382"/>
      <c r="D11" s="383"/>
      <c r="E11" s="383"/>
      <c r="F11" s="383"/>
      <c r="G11" s="383"/>
      <c r="H11" s="384" t="s">
        <v>60</v>
      </c>
      <c r="I11" s="384"/>
      <c r="J11" s="385">
        <f>+J6</f>
        <v>206.05</v>
      </c>
      <c r="K11" s="386">
        <v>100</v>
      </c>
      <c r="L11" s="380"/>
      <c r="M11" s="387"/>
      <c r="N11" s="385"/>
      <c r="O11" s="387"/>
      <c r="P11" s="388"/>
      <c r="Q11" s="74"/>
      <c r="R11" s="87"/>
      <c r="S11" s="87"/>
      <c r="T11" s="98"/>
      <c r="U11" s="98"/>
      <c r="V11" s="98"/>
      <c r="W11" s="98"/>
      <c r="X11" s="98"/>
      <c r="Y11" s="98"/>
      <c r="Z11" s="98"/>
      <c r="AA11" s="98"/>
      <c r="AB11" s="89"/>
      <c r="AC11" s="100"/>
      <c r="AD11" s="99"/>
    </row>
    <row r="12" spans="1:37">
      <c r="A12" s="77"/>
      <c r="B12" s="381"/>
      <c r="C12" s="383"/>
      <c r="D12" s="383"/>
      <c r="E12" s="383"/>
      <c r="F12" s="383"/>
      <c r="G12" s="383"/>
      <c r="H12" s="384" t="s">
        <v>59</v>
      </c>
      <c r="I12" s="384"/>
      <c r="J12" s="385"/>
      <c r="K12" s="386">
        <v>300</v>
      </c>
      <c r="L12" s="387"/>
      <c r="M12" s="387"/>
      <c r="N12" s="385"/>
      <c r="O12" s="387"/>
      <c r="P12" s="388"/>
      <c r="Q12" s="84"/>
      <c r="R12" s="98"/>
      <c r="S12" s="98"/>
      <c r="T12" s="78"/>
      <c r="U12" s="78"/>
      <c r="V12" s="78"/>
      <c r="W12" s="78"/>
      <c r="X12" s="78"/>
      <c r="Y12" s="78"/>
      <c r="Z12" s="78"/>
      <c r="AA12" s="78"/>
      <c r="AB12" s="89"/>
      <c r="AC12" s="100"/>
      <c r="AD12" s="99"/>
    </row>
    <row r="13" spans="1:37" ht="14.4">
      <c r="A13" s="77"/>
      <c r="B13" s="189"/>
      <c r="C13" s="179"/>
      <c r="D13" s="137" t="s">
        <v>38</v>
      </c>
      <c r="E13" s="136" t="s">
        <v>38</v>
      </c>
      <c r="F13" s="179"/>
      <c r="G13" s="179"/>
      <c r="H13" s="179"/>
      <c r="I13" s="86"/>
      <c r="J13" s="332"/>
      <c r="K13" s="331"/>
      <c r="L13" s="86"/>
      <c r="M13" s="86"/>
      <c r="N13" s="332"/>
      <c r="O13" s="324"/>
      <c r="P13" s="86"/>
      <c r="Q13" s="84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89"/>
      <c r="AC13" s="100"/>
      <c r="AD13" s="99"/>
    </row>
    <row r="14" spans="1:37" ht="14.4">
      <c r="B14" s="189"/>
      <c r="C14" s="187"/>
      <c r="D14" s="135"/>
      <c r="E14" s="135"/>
      <c r="F14" s="187"/>
      <c r="G14" s="260" t="s">
        <v>38</v>
      </c>
      <c r="H14" s="187"/>
      <c r="I14" s="78"/>
      <c r="J14" s="332"/>
      <c r="K14" s="331"/>
      <c r="L14" s="78"/>
      <c r="M14" s="78"/>
      <c r="N14" s="332"/>
      <c r="O14" s="324"/>
      <c r="P14" s="78"/>
      <c r="Q14" s="84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89"/>
      <c r="AC14" s="100"/>
      <c r="AD14" s="99"/>
    </row>
    <row r="15" spans="1:37" ht="14.4">
      <c r="B15" s="189"/>
      <c r="C15" s="187"/>
      <c r="D15" s="135"/>
      <c r="E15" s="135"/>
      <c r="F15" s="187"/>
      <c r="G15" s="260"/>
      <c r="H15" s="187"/>
      <c r="I15" s="78"/>
      <c r="J15" s="378"/>
      <c r="K15" s="375"/>
      <c r="L15" s="78"/>
      <c r="M15" s="78"/>
      <c r="N15" s="332"/>
      <c r="O15" s="324"/>
      <c r="P15" s="78"/>
      <c r="Q15" s="84"/>
      <c r="R15" s="98"/>
      <c r="S15" s="98"/>
      <c r="T15" s="78"/>
      <c r="U15" s="78"/>
      <c r="V15" s="78"/>
      <c r="W15" s="78"/>
      <c r="X15" s="78"/>
      <c r="Y15" s="78"/>
      <c r="Z15" s="78"/>
      <c r="AA15" s="78"/>
      <c r="AB15" s="89"/>
      <c r="AC15" s="100"/>
      <c r="AD15" s="99"/>
    </row>
    <row r="16" spans="1:37">
      <c r="B16" s="231" t="s">
        <v>91</v>
      </c>
      <c r="H16" s="301"/>
      <c r="I16" s="327"/>
      <c r="J16" s="301" t="s">
        <v>116</v>
      </c>
      <c r="K16" s="301"/>
      <c r="L16" s="86"/>
      <c r="M16" s="86"/>
      <c r="N16" s="332"/>
      <c r="O16" s="324"/>
      <c r="P16" s="86"/>
      <c r="Q16" s="84"/>
      <c r="R16" s="98"/>
      <c r="S16" s="98"/>
      <c r="T16" s="78"/>
      <c r="U16" s="78"/>
      <c r="V16" s="78"/>
      <c r="W16" s="78"/>
      <c r="X16" s="78"/>
      <c r="Y16" s="78"/>
      <c r="Z16" s="78"/>
      <c r="AA16" s="78"/>
      <c r="AB16" s="89"/>
      <c r="AC16" s="100"/>
      <c r="AD16" s="99"/>
    </row>
    <row r="17" spans="1:30">
      <c r="B17" s="231" t="s">
        <v>92</v>
      </c>
      <c r="G17" s="301"/>
      <c r="H17" s="301"/>
      <c r="I17" s="327"/>
      <c r="J17" s="301" t="s">
        <v>117</v>
      </c>
      <c r="K17" s="184"/>
      <c r="L17" s="86"/>
      <c r="M17" s="86"/>
      <c r="N17" s="86"/>
      <c r="O17" s="86"/>
      <c r="P17" s="86"/>
      <c r="Q17" s="84"/>
      <c r="R17" s="78"/>
      <c r="S17" s="78"/>
      <c r="T17" s="98"/>
      <c r="U17" s="98"/>
      <c r="V17" s="98"/>
      <c r="W17" s="98"/>
      <c r="X17" s="98"/>
      <c r="Y17" s="98"/>
      <c r="Z17" s="98"/>
      <c r="AA17" s="98"/>
      <c r="AB17" s="89"/>
      <c r="AC17" s="100"/>
      <c r="AD17" s="99"/>
    </row>
    <row r="18" spans="1:30">
      <c r="B18" s="231" t="s">
        <v>93</v>
      </c>
      <c r="I18" s="231"/>
      <c r="J18" s="327"/>
      <c r="K18" s="333"/>
      <c r="L18" s="78"/>
      <c r="M18" s="78"/>
      <c r="N18" s="86"/>
      <c r="O18" s="78"/>
      <c r="P18" s="78"/>
      <c r="Q18" s="84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89"/>
      <c r="AC18" s="100"/>
      <c r="AD18" s="99"/>
    </row>
    <row r="19" spans="1:30">
      <c r="A19" s="77"/>
      <c r="B19" s="179"/>
      <c r="C19" s="179" t="s">
        <v>66</v>
      </c>
      <c r="D19" s="179"/>
      <c r="E19" s="179"/>
      <c r="F19" s="179"/>
      <c r="G19" s="179"/>
      <c r="H19" s="179"/>
      <c r="I19" s="86"/>
      <c r="J19" s="86"/>
      <c r="K19" s="86"/>
      <c r="L19" s="86"/>
      <c r="M19" s="86"/>
      <c r="N19" s="86"/>
      <c r="O19" s="86"/>
      <c r="P19" s="88"/>
      <c r="Q19" s="84"/>
      <c r="R19" s="98"/>
      <c r="S19" s="98"/>
      <c r="T19" s="78"/>
      <c r="U19" s="78"/>
      <c r="V19" s="78"/>
      <c r="W19" s="78"/>
      <c r="X19" s="78"/>
      <c r="Y19" s="78"/>
      <c r="Z19" s="78"/>
      <c r="AA19" s="78"/>
      <c r="AB19" s="89"/>
      <c r="AC19" s="100"/>
      <c r="AD19" s="99"/>
    </row>
    <row r="20" spans="1:30">
      <c r="A20" s="77"/>
      <c r="B20" s="187"/>
      <c r="C20" s="187"/>
      <c r="D20" s="187"/>
      <c r="E20" s="187"/>
      <c r="F20" s="187"/>
      <c r="G20" s="187"/>
      <c r="H20" s="187"/>
      <c r="I20" s="78"/>
      <c r="J20" s="86"/>
      <c r="K20" s="78"/>
      <c r="L20" s="78"/>
      <c r="M20" s="78"/>
      <c r="N20" s="78"/>
      <c r="O20" s="78"/>
      <c r="P20" s="88"/>
      <c r="Q20" s="84"/>
      <c r="R20" s="78"/>
      <c r="S20" s="78"/>
      <c r="T20" s="98"/>
      <c r="U20" s="98"/>
      <c r="V20" s="98"/>
      <c r="W20" s="98"/>
      <c r="X20" s="98"/>
      <c r="Y20" s="98"/>
      <c r="Z20" s="98"/>
      <c r="AA20" s="98"/>
      <c r="AB20" s="89"/>
      <c r="AC20" s="100"/>
      <c r="AD20" s="99"/>
    </row>
    <row r="21" spans="1:30">
      <c r="A21" s="77"/>
      <c r="B21" s="187"/>
      <c r="C21" s="187"/>
      <c r="D21" s="187"/>
      <c r="E21" s="187"/>
      <c r="F21" s="187"/>
      <c r="G21" s="187"/>
      <c r="H21" s="187"/>
      <c r="I21" s="78"/>
      <c r="J21" s="86"/>
      <c r="K21" s="78"/>
      <c r="L21" s="78"/>
      <c r="M21" s="78"/>
      <c r="N21" s="78"/>
      <c r="O21" s="78"/>
      <c r="P21" s="88"/>
      <c r="Q21" s="84"/>
      <c r="R21" s="78"/>
      <c r="S21" s="78"/>
      <c r="T21" s="98"/>
      <c r="U21" s="98"/>
      <c r="V21" s="98"/>
      <c r="W21" s="98"/>
      <c r="X21" s="98"/>
      <c r="Y21" s="98"/>
      <c r="Z21" s="98"/>
      <c r="AA21" s="98"/>
      <c r="AB21" s="89"/>
      <c r="AC21" s="100"/>
      <c r="AD21" s="76"/>
    </row>
    <row r="22" spans="1:30" ht="15">
      <c r="A22" s="289"/>
      <c r="B22" s="230"/>
      <c r="C22" s="230"/>
      <c r="D22" s="230"/>
      <c r="E22" s="290" t="s">
        <v>176</v>
      </c>
      <c r="F22" s="230"/>
      <c r="G22" s="230"/>
      <c r="H22" s="230"/>
      <c r="I22" s="86"/>
      <c r="J22" s="86"/>
      <c r="K22" s="86"/>
      <c r="L22" s="86"/>
      <c r="M22" s="86"/>
      <c r="N22" s="86"/>
      <c r="O22" s="86"/>
      <c r="P22" s="88"/>
      <c r="Q22" s="84"/>
      <c r="R22" s="98"/>
      <c r="S22" s="98"/>
      <c r="T22" s="78"/>
      <c r="U22" s="78"/>
      <c r="V22" s="78"/>
      <c r="W22" s="78"/>
      <c r="X22" s="78"/>
      <c r="Y22" s="78"/>
      <c r="Z22" s="78"/>
      <c r="AA22" s="78"/>
      <c r="AB22" s="89"/>
      <c r="AC22" s="100"/>
      <c r="AD22" s="99"/>
    </row>
    <row r="23" spans="1:30">
      <c r="A23" s="77"/>
      <c r="B23" s="179"/>
      <c r="C23" s="179"/>
      <c r="D23" s="179"/>
      <c r="E23" s="179"/>
      <c r="F23" s="179"/>
      <c r="G23" s="179"/>
      <c r="H23" s="179"/>
      <c r="I23" s="86"/>
      <c r="J23" s="86"/>
      <c r="K23" s="86"/>
      <c r="L23" s="86"/>
      <c r="M23" s="86"/>
      <c r="N23" s="86"/>
      <c r="O23" s="86"/>
      <c r="P23" s="88"/>
      <c r="Q23" s="84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89"/>
      <c r="AC23" s="100"/>
      <c r="AD23" s="99"/>
    </row>
    <row r="24" spans="1:30">
      <c r="A24" s="77"/>
      <c r="B24" s="187"/>
      <c r="C24" s="187"/>
      <c r="D24" s="187"/>
      <c r="E24" s="187"/>
      <c r="F24" s="187"/>
      <c r="G24" s="187"/>
      <c r="H24" s="187"/>
      <c r="I24" s="78"/>
      <c r="J24" s="86"/>
      <c r="K24" s="78"/>
      <c r="L24" s="78"/>
      <c r="M24" s="78"/>
      <c r="N24" s="78"/>
      <c r="O24" s="78"/>
      <c r="P24" s="88"/>
      <c r="Q24" s="84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89"/>
      <c r="AC24" s="100"/>
      <c r="AD24" s="99"/>
    </row>
    <row r="25" spans="1:30">
      <c r="A25" s="77"/>
      <c r="B25" s="261"/>
      <c r="C25" s="179"/>
      <c r="D25" s="179"/>
      <c r="E25" s="179"/>
      <c r="F25" s="179"/>
      <c r="G25" s="179"/>
      <c r="H25" s="179"/>
      <c r="I25" s="86"/>
      <c r="J25" s="86"/>
      <c r="K25" s="86"/>
      <c r="L25" s="86"/>
      <c r="M25" s="86"/>
      <c r="N25" s="86"/>
      <c r="O25" s="86"/>
      <c r="P25" s="88"/>
      <c r="Q25" s="84"/>
      <c r="R25" s="98"/>
      <c r="S25" s="98"/>
      <c r="T25" s="78"/>
      <c r="U25" s="78"/>
      <c r="V25" s="78"/>
      <c r="W25" s="78"/>
      <c r="X25" s="78"/>
      <c r="Y25" s="78"/>
      <c r="Z25" s="78"/>
      <c r="AA25" s="78"/>
      <c r="AB25" s="78"/>
      <c r="AC25" s="100"/>
      <c r="AD25" s="76"/>
    </row>
    <row r="26" spans="1:30">
      <c r="A26" s="77"/>
      <c r="B26" s="179"/>
      <c r="C26" s="179"/>
      <c r="D26" s="179"/>
      <c r="E26" s="179"/>
      <c r="F26" s="262"/>
      <c r="G26" s="179"/>
      <c r="H26" s="179"/>
      <c r="I26" s="86"/>
      <c r="J26" s="86"/>
      <c r="K26" s="86"/>
      <c r="L26" s="86"/>
      <c r="M26" s="86"/>
      <c r="N26" s="86"/>
      <c r="O26" s="86"/>
      <c r="P26" s="89"/>
      <c r="Q26" s="84"/>
      <c r="R26" s="98"/>
      <c r="S26" s="98"/>
      <c r="T26" s="78"/>
      <c r="U26" s="78"/>
      <c r="V26" s="78"/>
      <c r="W26" s="78"/>
      <c r="X26" s="78"/>
      <c r="Y26" s="78"/>
      <c r="Z26" s="78"/>
      <c r="AA26" s="78"/>
      <c r="AB26" s="78"/>
      <c r="AC26" s="100"/>
      <c r="AD26" s="76"/>
    </row>
    <row r="27" spans="1:30">
      <c r="A27" s="91"/>
      <c r="B27" s="49"/>
      <c r="C27" s="49"/>
      <c r="D27" s="49"/>
      <c r="E27" s="49"/>
      <c r="F27" s="49"/>
      <c r="G27" s="49"/>
      <c r="H27" s="49"/>
      <c r="I27" s="80"/>
      <c r="J27" s="88"/>
      <c r="K27" s="80"/>
      <c r="L27" s="80"/>
      <c r="M27" s="80"/>
      <c r="N27" s="80"/>
      <c r="O27" s="80"/>
      <c r="P27" s="80"/>
      <c r="Q27" s="78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100"/>
      <c r="AD27" s="76"/>
    </row>
    <row r="28" spans="1:30">
      <c r="A28" s="77"/>
      <c r="B28" s="187"/>
      <c r="C28" s="187"/>
      <c r="D28" s="187"/>
      <c r="E28" s="187"/>
      <c r="F28" s="187"/>
      <c r="G28" s="187"/>
      <c r="H28" s="187"/>
      <c r="I28" s="78"/>
      <c r="J28" s="86"/>
      <c r="K28" s="78"/>
      <c r="L28" s="78"/>
      <c r="M28" s="78"/>
      <c r="N28" s="78"/>
      <c r="O28" s="78"/>
      <c r="P28" s="88"/>
      <c r="Q28" s="84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9"/>
      <c r="AC28" s="100"/>
      <c r="AD28" s="99"/>
    </row>
    <row r="29" spans="1:30">
      <c r="A29" s="77"/>
      <c r="B29" s="187"/>
      <c r="C29" s="187"/>
      <c r="D29" s="187"/>
      <c r="E29" s="187"/>
      <c r="F29" s="187"/>
      <c r="G29" s="187"/>
      <c r="H29" s="187"/>
      <c r="I29" s="78"/>
      <c r="J29" s="86"/>
      <c r="K29" s="78"/>
      <c r="L29" s="78"/>
      <c r="M29" s="78"/>
      <c r="N29" s="78"/>
      <c r="O29" s="78"/>
      <c r="P29" s="88"/>
      <c r="Q29" s="84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89"/>
      <c r="AC29" s="100"/>
      <c r="AD29" s="99"/>
    </row>
    <row r="30" spans="1:30">
      <c r="A30" s="77"/>
      <c r="B30" s="187"/>
      <c r="C30" s="187"/>
      <c r="D30" s="187"/>
      <c r="E30" s="187"/>
      <c r="F30" s="187"/>
      <c r="G30" s="187"/>
      <c r="H30" s="187"/>
      <c r="I30" s="78"/>
      <c r="J30" s="86"/>
      <c r="K30" s="78"/>
      <c r="L30" s="78"/>
      <c r="M30" s="78"/>
      <c r="N30" s="78"/>
      <c r="O30" s="78"/>
      <c r="P30" s="88"/>
      <c r="Q30" s="84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89"/>
      <c r="AC30" s="100"/>
      <c r="AD30" s="99"/>
    </row>
    <row r="31" spans="1:30">
      <c r="A31" s="77"/>
      <c r="B31" s="187"/>
      <c r="C31" s="187"/>
      <c r="D31" s="187"/>
      <c r="E31" s="187"/>
      <c r="F31" s="187"/>
      <c r="G31" s="187"/>
      <c r="H31" s="187"/>
      <c r="I31" s="78"/>
      <c r="J31" s="86"/>
      <c r="K31" s="78"/>
      <c r="L31" s="78"/>
      <c r="M31" s="78"/>
      <c r="N31" s="78"/>
      <c r="O31" s="78"/>
      <c r="P31" s="88"/>
      <c r="Q31" s="84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9"/>
      <c r="AC31" s="100"/>
      <c r="AD31" s="99"/>
    </row>
    <row r="32" spans="1:30">
      <c r="A32" s="77"/>
      <c r="B32" s="187"/>
      <c r="C32" s="187"/>
      <c r="D32" s="187"/>
      <c r="E32" s="187"/>
      <c r="F32" s="187"/>
      <c r="G32" s="187"/>
      <c r="H32" s="187"/>
      <c r="I32" s="78"/>
      <c r="J32" s="86"/>
      <c r="K32" s="78"/>
      <c r="L32" s="78"/>
      <c r="M32" s="78"/>
      <c r="N32" s="78"/>
      <c r="O32" s="78"/>
      <c r="P32" s="88"/>
      <c r="Q32" s="84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89"/>
      <c r="AC32" s="100"/>
      <c r="AD32" s="99"/>
    </row>
    <row r="33" spans="1:30">
      <c r="A33" s="77"/>
      <c r="B33" s="187"/>
      <c r="C33" s="187"/>
      <c r="D33" s="187"/>
      <c r="E33" s="187"/>
      <c r="F33" s="187"/>
      <c r="G33" s="187"/>
      <c r="H33" s="187"/>
      <c r="I33" s="78"/>
      <c r="J33" s="86"/>
      <c r="K33" s="78"/>
      <c r="L33" s="78"/>
      <c r="M33" s="78"/>
      <c r="N33" s="78"/>
      <c r="O33" s="78"/>
      <c r="P33" s="88"/>
      <c r="Q33" s="84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89"/>
      <c r="AC33" s="100"/>
      <c r="AD33" s="99"/>
    </row>
    <row r="34" spans="1:30">
      <c r="A34" s="77"/>
      <c r="B34" s="187"/>
      <c r="C34" s="187"/>
      <c r="D34" s="187"/>
      <c r="E34" s="187"/>
      <c r="F34" s="187"/>
      <c r="G34" s="187"/>
      <c r="H34" s="187"/>
      <c r="I34" s="78"/>
      <c r="J34" s="86"/>
      <c r="K34" s="78"/>
      <c r="L34" s="78"/>
      <c r="M34" s="78"/>
      <c r="N34" s="78"/>
      <c r="O34" s="78"/>
      <c r="P34" s="88"/>
      <c r="Q34" s="84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9"/>
      <c r="AC34" s="100"/>
      <c r="AD34" s="99"/>
    </row>
    <row r="35" spans="1:30">
      <c r="A35" s="77"/>
      <c r="B35" s="187"/>
      <c r="C35" s="187"/>
      <c r="D35" s="187"/>
      <c r="E35" s="187"/>
      <c r="F35" s="187"/>
      <c r="G35" s="187"/>
      <c r="H35" s="187"/>
      <c r="I35" s="78"/>
      <c r="J35" s="86"/>
      <c r="K35" s="78"/>
      <c r="L35" s="78"/>
      <c r="M35" s="78"/>
      <c r="N35" s="78"/>
      <c r="O35" s="78"/>
      <c r="P35" s="88"/>
      <c r="Q35" s="84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89"/>
      <c r="AC35" s="100"/>
      <c r="AD35" s="99"/>
    </row>
    <row r="36" spans="1:30">
      <c r="A36" s="77"/>
      <c r="B36" s="187"/>
      <c r="C36" s="187"/>
      <c r="D36" s="187"/>
      <c r="E36" s="187"/>
      <c r="F36" s="187"/>
      <c r="G36" s="187"/>
      <c r="H36" s="187"/>
      <c r="I36" s="78"/>
      <c r="J36" s="86"/>
      <c r="K36" s="78"/>
      <c r="L36" s="78"/>
      <c r="M36" s="78"/>
      <c r="N36" s="78"/>
      <c r="O36" s="78"/>
      <c r="P36" s="88"/>
      <c r="Q36" s="84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89"/>
      <c r="AC36" s="100"/>
      <c r="AD36" s="99"/>
    </row>
    <row r="37" spans="1:30">
      <c r="A37" s="77"/>
      <c r="B37" s="187"/>
      <c r="C37" s="187"/>
      <c r="D37" s="187"/>
      <c r="E37" s="187"/>
      <c r="F37" s="187"/>
      <c r="G37" s="187"/>
      <c r="H37" s="187"/>
      <c r="I37" s="78"/>
      <c r="J37" s="86"/>
      <c r="K37" s="78"/>
      <c r="L37" s="78"/>
      <c r="M37" s="78"/>
      <c r="N37" s="78"/>
      <c r="O37" s="78"/>
      <c r="P37" s="88"/>
      <c r="Q37" s="84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9"/>
      <c r="AC37" s="100"/>
      <c r="AD37" s="99"/>
    </row>
    <row r="38" spans="1:30">
      <c r="A38" s="77"/>
      <c r="B38" s="187"/>
      <c r="C38" s="187"/>
      <c r="D38" s="187"/>
      <c r="E38" s="187"/>
      <c r="F38" s="187"/>
      <c r="G38" s="187"/>
      <c r="H38" s="187"/>
      <c r="I38" s="78"/>
      <c r="J38" s="86"/>
      <c r="K38" s="78"/>
      <c r="L38" s="78"/>
      <c r="M38" s="78"/>
      <c r="N38" s="78"/>
      <c r="O38" s="78"/>
      <c r="P38" s="88"/>
      <c r="Q38" s="84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89"/>
      <c r="AC38" s="100"/>
      <c r="AD38" s="99"/>
    </row>
    <row r="39" spans="1:30">
      <c r="A39" s="77"/>
      <c r="B39" s="187"/>
      <c r="C39" s="187"/>
      <c r="D39" s="187"/>
      <c r="E39" s="187"/>
      <c r="F39" s="187"/>
      <c r="G39" s="187"/>
      <c r="H39" s="187"/>
      <c r="I39" s="78"/>
      <c r="J39" s="86"/>
      <c r="K39" s="78"/>
      <c r="L39" s="78"/>
      <c r="M39" s="78"/>
      <c r="N39" s="78"/>
      <c r="O39" s="78"/>
      <c r="P39" s="88"/>
      <c r="Q39" s="84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89"/>
      <c r="AC39" s="100"/>
      <c r="AD39" s="99"/>
    </row>
    <row r="40" spans="1:30">
      <c r="A40" s="77"/>
      <c r="B40" s="187"/>
      <c r="C40" s="187"/>
      <c r="D40" s="187"/>
      <c r="E40" s="187"/>
      <c r="F40" s="187"/>
      <c r="G40" s="187"/>
      <c r="H40" s="187"/>
      <c r="I40" s="78"/>
      <c r="J40" s="86"/>
      <c r="K40" s="78"/>
      <c r="L40" s="78"/>
      <c r="M40" s="78"/>
      <c r="N40" s="78"/>
      <c r="O40" s="78"/>
      <c r="P40" s="88"/>
      <c r="Q40" s="84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89"/>
      <c r="AC40" s="100"/>
      <c r="AD40" s="99"/>
    </row>
    <row r="41" spans="1:30">
      <c r="A41" s="77"/>
      <c r="B41" s="179"/>
      <c r="C41" s="179"/>
      <c r="D41" s="179"/>
      <c r="E41" s="179"/>
      <c r="F41" s="179"/>
      <c r="G41" s="179"/>
      <c r="H41" s="179"/>
      <c r="I41" s="86"/>
      <c r="J41" s="86"/>
      <c r="K41" s="86"/>
      <c r="L41" s="86"/>
      <c r="M41" s="86"/>
      <c r="N41" s="86"/>
      <c r="O41" s="86"/>
      <c r="P41" s="89"/>
      <c r="Q41" s="84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9"/>
      <c r="AC41" s="100"/>
      <c r="AD41" s="76"/>
    </row>
    <row r="42" spans="1:30">
      <c r="A42" s="77"/>
      <c r="B42" s="187"/>
      <c r="C42" s="187"/>
      <c r="D42" s="187"/>
      <c r="E42" s="187"/>
      <c r="F42" s="187"/>
      <c r="G42" s="187"/>
      <c r="H42" s="187"/>
      <c r="I42" s="78"/>
      <c r="J42" s="86"/>
      <c r="K42" s="78"/>
      <c r="L42" s="78"/>
      <c r="M42" s="78"/>
      <c r="N42" s="78"/>
      <c r="O42" s="78"/>
      <c r="P42" s="88"/>
      <c r="Q42" s="84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89"/>
      <c r="AC42" s="100"/>
      <c r="AD42" s="99"/>
    </row>
    <row r="43" spans="1:30">
      <c r="A43" s="77"/>
      <c r="B43" s="187"/>
      <c r="C43" s="187"/>
      <c r="D43" s="187"/>
      <c r="E43" s="187"/>
      <c r="F43" s="187"/>
      <c r="G43" s="187"/>
      <c r="H43" s="187"/>
      <c r="I43" s="78"/>
      <c r="J43" s="86"/>
      <c r="K43" s="78"/>
      <c r="L43" s="78"/>
      <c r="M43" s="78"/>
      <c r="N43" s="78"/>
      <c r="O43" s="78"/>
      <c r="P43" s="88"/>
      <c r="Q43" s="84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89"/>
      <c r="AC43" s="100"/>
      <c r="AD43" s="99"/>
    </row>
    <row r="44" spans="1:30">
      <c r="A44" s="82"/>
      <c r="B44" s="263"/>
      <c r="C44" s="263"/>
      <c r="D44" s="263"/>
      <c r="E44" s="263"/>
      <c r="F44" s="263"/>
      <c r="G44" s="263"/>
      <c r="H44" s="263"/>
      <c r="I44" s="100"/>
      <c r="J44" s="269"/>
      <c r="K44" s="100"/>
      <c r="L44" s="100"/>
      <c r="M44" s="100"/>
      <c r="N44" s="100"/>
      <c r="O44" s="100"/>
      <c r="P44" s="92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93"/>
      <c r="AC44" s="100"/>
      <c r="AD44" s="76"/>
    </row>
    <row r="45" spans="1:30">
      <c r="A45" s="82"/>
      <c r="B45" s="263"/>
      <c r="C45" s="263"/>
      <c r="D45" s="263"/>
      <c r="E45" s="263"/>
      <c r="F45" s="263"/>
      <c r="G45" s="263"/>
      <c r="H45" s="263"/>
      <c r="I45" s="100"/>
      <c r="J45" s="269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76"/>
    </row>
    <row r="46" spans="1:30">
      <c r="A46" s="82"/>
      <c r="B46" s="264"/>
      <c r="C46" s="264"/>
      <c r="D46" s="264"/>
      <c r="E46" s="264"/>
      <c r="F46" s="264"/>
      <c r="G46" s="264"/>
      <c r="H46" s="264"/>
      <c r="I46" s="76"/>
      <c r="J46" s="270"/>
      <c r="K46" s="76"/>
      <c r="L46" s="76"/>
      <c r="M46" s="76"/>
      <c r="N46" s="76"/>
      <c r="O46" s="76"/>
      <c r="P46" s="100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</row>
    <row r="47" spans="1:30">
      <c r="A47" s="82"/>
      <c r="B47" s="232"/>
      <c r="C47" s="232"/>
      <c r="D47" s="232"/>
      <c r="E47" s="232"/>
      <c r="F47" s="232"/>
      <c r="G47" s="232"/>
      <c r="H47" s="232"/>
      <c r="I47" s="83"/>
      <c r="J47" s="271"/>
      <c r="K47" s="83"/>
      <c r="L47" s="83"/>
      <c r="M47" s="83"/>
      <c r="N47" s="83"/>
      <c r="O47" s="83"/>
      <c r="P47" s="90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>
      <c r="A48" s="82"/>
      <c r="B48" s="232"/>
      <c r="C48" s="232"/>
      <c r="D48" s="232"/>
      <c r="E48" s="232"/>
      <c r="F48" s="232"/>
      <c r="G48" s="232"/>
      <c r="H48" s="232"/>
      <c r="I48" s="83"/>
      <c r="J48" s="271"/>
      <c r="K48" s="83"/>
      <c r="L48" s="83"/>
      <c r="M48" s="83"/>
      <c r="N48" s="83"/>
      <c r="O48" s="83"/>
      <c r="P48" s="90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>
      <c r="A49" s="82"/>
      <c r="B49" s="232"/>
      <c r="C49" s="232"/>
      <c r="D49" s="232"/>
      <c r="E49" s="232"/>
      <c r="F49" s="232"/>
      <c r="G49" s="232"/>
      <c r="H49" s="232"/>
      <c r="I49" s="83"/>
      <c r="J49" s="271"/>
      <c r="K49" s="83"/>
      <c r="L49" s="83"/>
      <c r="M49" s="83"/>
      <c r="N49" s="83"/>
      <c r="O49" s="83"/>
      <c r="P49" s="90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>
      <c r="A50" s="82"/>
      <c r="B50" s="232"/>
      <c r="C50" s="232"/>
      <c r="D50" s="232"/>
      <c r="E50" s="232"/>
      <c r="F50" s="232"/>
      <c r="G50" s="232"/>
      <c r="H50" s="232"/>
      <c r="I50" s="83"/>
      <c r="J50" s="271"/>
      <c r="K50" s="83"/>
      <c r="L50" s="83"/>
      <c r="M50" s="83"/>
      <c r="N50" s="83"/>
      <c r="O50" s="83"/>
      <c r="P50" s="90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>
      <c r="A51" s="82"/>
      <c r="I51" s="82"/>
      <c r="J51" s="272"/>
      <c r="K51" s="82"/>
      <c r="L51" s="82"/>
      <c r="M51" s="82"/>
      <c r="N51" s="83"/>
      <c r="O51" s="83"/>
      <c r="P51" s="90"/>
      <c r="Q51" s="83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2"/>
      <c r="AC51" s="82"/>
      <c r="AD51" s="83"/>
    </row>
    <row r="52" spans="1:30">
      <c r="A52" s="82"/>
      <c r="I52" s="82"/>
      <c r="J52" s="272"/>
      <c r="K52" s="82"/>
      <c r="L52" s="82"/>
      <c r="M52" s="82"/>
      <c r="N52" s="83"/>
      <c r="O52" s="83"/>
      <c r="P52" s="90"/>
      <c r="Q52" s="83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2"/>
      <c r="AC52" s="82"/>
      <c r="AD52" s="83"/>
    </row>
    <row r="53" spans="1:30">
      <c r="P53" s="38"/>
    </row>
    <row r="54" spans="1:30">
      <c r="P54" s="38"/>
    </row>
    <row r="55" spans="1:30">
      <c r="P55" s="38"/>
    </row>
    <row r="56" spans="1:30">
      <c r="P56" s="38"/>
    </row>
    <row r="57" spans="1:30">
      <c r="P57" s="38"/>
    </row>
    <row r="58" spans="1:30">
      <c r="P58" s="38"/>
    </row>
    <row r="59" spans="1:30">
      <c r="P59" s="38"/>
    </row>
    <row r="60" spans="1:30">
      <c r="P60" s="38"/>
    </row>
    <row r="61" spans="1:30">
      <c r="P61" s="38"/>
    </row>
    <row r="62" spans="1:30">
      <c r="P62" s="38"/>
    </row>
    <row r="63" spans="1:30">
      <c r="P63" s="38"/>
    </row>
    <row r="64" spans="1:30">
      <c r="P64" s="38"/>
    </row>
    <row r="65" spans="16:16">
      <c r="P65" s="38"/>
    </row>
    <row r="66" spans="16:16">
      <c r="P66" s="38"/>
    </row>
    <row r="67" spans="16:16">
      <c r="P67" s="38"/>
    </row>
    <row r="68" spans="16:16">
      <c r="P68" s="38"/>
    </row>
    <row r="69" spans="16:16">
      <c r="P69" s="38"/>
    </row>
    <row r="70" spans="16:16">
      <c r="P70" s="38"/>
    </row>
    <row r="71" spans="16:16">
      <c r="P71" s="38"/>
    </row>
    <row r="72" spans="16:16">
      <c r="P72" s="38"/>
    </row>
    <row r="73" spans="16:16">
      <c r="P73" s="38"/>
    </row>
    <row r="74" spans="16:16">
      <c r="P74" s="38"/>
    </row>
    <row r="75" spans="16:16">
      <c r="P75" s="38"/>
    </row>
    <row r="76" spans="16:16">
      <c r="P76" s="38"/>
    </row>
    <row r="77" spans="16:16">
      <c r="P77" s="38"/>
    </row>
    <row r="78" spans="16:16">
      <c r="P78" s="38"/>
    </row>
    <row r="79" spans="16:16">
      <c r="P79" s="38"/>
    </row>
    <row r="80" spans="16:16">
      <c r="P80" s="38"/>
    </row>
    <row r="81" spans="16:16">
      <c r="P81" s="38"/>
    </row>
    <row r="82" spans="16:16">
      <c r="P82" s="38"/>
    </row>
    <row r="83" spans="16:16">
      <c r="P83" s="38"/>
    </row>
    <row r="84" spans="16:16">
      <c r="P84" s="38"/>
    </row>
    <row r="85" spans="16:16">
      <c r="P85" s="38"/>
    </row>
    <row r="86" spans="16:16">
      <c r="P86" s="38"/>
    </row>
  </sheetData>
  <phoneticPr fontId="19" type="noConversion"/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86"/>
  <sheetViews>
    <sheetView zoomScale="125" zoomScaleNormal="125" zoomScalePageLayoutView="125" workbookViewId="0">
      <selection activeCell="J6" sqref="J6"/>
    </sheetView>
  </sheetViews>
  <sheetFormatPr defaultColWidth="8.88671875" defaultRowHeight="13.2"/>
  <cols>
    <col min="1" max="1" width="47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08" customWidth="1"/>
    <col min="12" max="12" width="25.4414062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37" customWidth="1"/>
    <col min="23" max="23" width="10" style="37" customWidth="1"/>
    <col min="24" max="25" width="8.6640625" style="37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102" t="s">
        <v>177</v>
      </c>
      <c r="B1" s="20"/>
      <c r="C1" s="20"/>
      <c r="D1" s="20"/>
      <c r="E1" s="20" t="s">
        <v>94</v>
      </c>
      <c r="F1" s="150">
        <f>MIN(B6:B7)</f>
        <v>1.9</v>
      </c>
      <c r="G1" s="20"/>
      <c r="H1" s="20" t="s">
        <v>96</v>
      </c>
      <c r="I1" s="20"/>
      <c r="J1" s="216">
        <f>MIN(H6:H11)</f>
        <v>21.311475409836067</v>
      </c>
      <c r="K1" s="199"/>
      <c r="L1" s="25"/>
      <c r="M1" s="25"/>
      <c r="N1" s="25"/>
      <c r="O1" s="25"/>
      <c r="P1" s="103"/>
      <c r="Q1" s="72"/>
      <c r="R1" s="73"/>
      <c r="S1" s="73"/>
      <c r="T1" s="73"/>
      <c r="U1" s="73"/>
      <c r="V1" s="73"/>
      <c r="W1" s="73"/>
      <c r="X1" s="73"/>
      <c r="Y1" s="73"/>
      <c r="Z1" s="74"/>
      <c r="AA1" s="75"/>
      <c r="AB1" s="76"/>
      <c r="AC1" s="54"/>
      <c r="AD1" s="1"/>
      <c r="AE1" s="1"/>
      <c r="AF1" s="1"/>
    </row>
    <row r="2" spans="1:35">
      <c r="A2" s="69"/>
      <c r="B2" s="23"/>
      <c r="C2" s="23"/>
      <c r="D2" s="23"/>
      <c r="E2" s="23" t="s">
        <v>95</v>
      </c>
      <c r="F2" s="150">
        <v>2.09</v>
      </c>
      <c r="G2" s="23"/>
      <c r="H2" s="23" t="s">
        <v>97</v>
      </c>
      <c r="I2" s="23"/>
      <c r="J2" s="215">
        <f>MAX(H6:H11)</f>
        <v>26</v>
      </c>
      <c r="K2" s="200"/>
      <c r="L2" s="104"/>
      <c r="M2" s="46"/>
      <c r="N2" s="46"/>
      <c r="O2" s="46"/>
      <c r="P2" s="105"/>
      <c r="Q2" s="79"/>
      <c r="R2" s="79"/>
      <c r="S2" s="73"/>
      <c r="T2" s="73"/>
      <c r="U2" s="73"/>
      <c r="V2" s="73"/>
      <c r="W2" s="73"/>
      <c r="X2" s="73"/>
      <c r="Y2" s="73"/>
      <c r="Z2" s="74"/>
      <c r="AA2" s="75"/>
      <c r="AB2" s="76"/>
      <c r="AC2" s="54"/>
      <c r="AD2" s="1"/>
      <c r="AE2" s="1"/>
      <c r="AF2" s="1"/>
    </row>
    <row r="3" spans="1:35">
      <c r="A3" s="245"/>
      <c r="B3" s="15" t="s">
        <v>73</v>
      </c>
      <c r="C3" s="22"/>
      <c r="D3" s="22"/>
      <c r="E3" s="22"/>
      <c r="F3" s="22"/>
      <c r="G3" s="22"/>
      <c r="H3" s="22"/>
      <c r="I3" s="22"/>
      <c r="J3" s="15"/>
      <c r="K3" s="201"/>
      <c r="L3" s="25"/>
      <c r="M3" s="22"/>
      <c r="N3" s="22"/>
      <c r="O3" s="22"/>
      <c r="P3" s="106"/>
      <c r="Q3" s="81"/>
      <c r="R3" s="79"/>
      <c r="S3" s="73"/>
      <c r="T3" s="73"/>
      <c r="U3" s="73"/>
      <c r="V3" s="73"/>
      <c r="W3" s="73"/>
      <c r="X3" s="73"/>
      <c r="Y3" s="73"/>
      <c r="Z3" s="74"/>
      <c r="AA3" s="75"/>
      <c r="AB3" s="76"/>
      <c r="AC3" s="54"/>
      <c r="AD3" s="1"/>
      <c r="AE3" s="1"/>
      <c r="AF3" s="1"/>
    </row>
    <row r="4" spans="1:35">
      <c r="A4" s="15"/>
      <c r="B4" s="15"/>
      <c r="C4" s="22"/>
      <c r="D4" s="22"/>
      <c r="E4" s="22" t="s">
        <v>38</v>
      </c>
      <c r="F4" s="22"/>
      <c r="G4" s="22"/>
      <c r="H4" s="22"/>
      <c r="I4" s="22"/>
      <c r="J4" s="22"/>
      <c r="K4" s="201"/>
      <c r="L4" s="25"/>
      <c r="M4" s="22"/>
      <c r="N4" s="22"/>
      <c r="O4" s="22"/>
      <c r="P4" s="106"/>
      <c r="Q4" s="81"/>
      <c r="R4" s="79"/>
      <c r="S4" s="73"/>
      <c r="T4" s="73"/>
      <c r="U4" s="73"/>
      <c r="V4" s="73"/>
      <c r="W4" s="73"/>
      <c r="X4" s="73"/>
      <c r="Y4" s="73"/>
      <c r="Z4" s="74"/>
      <c r="AA4" s="75"/>
      <c r="AB4" s="76"/>
      <c r="AC4" s="54"/>
      <c r="AD4" s="1"/>
      <c r="AE4" s="1"/>
      <c r="AF4" s="1"/>
    </row>
    <row r="5" spans="1:35" ht="26.4">
      <c r="B5" s="322" t="s">
        <v>144</v>
      </c>
      <c r="C5" s="35" t="s">
        <v>72</v>
      </c>
      <c r="D5" s="22" t="s">
        <v>23</v>
      </c>
      <c r="E5" s="22"/>
      <c r="F5" s="322" t="s">
        <v>149</v>
      </c>
      <c r="G5" s="322" t="s">
        <v>105</v>
      </c>
      <c r="H5" s="35" t="s">
        <v>136</v>
      </c>
      <c r="I5" s="35" t="s">
        <v>42</v>
      </c>
      <c r="J5" s="35"/>
      <c r="K5" s="201" t="s">
        <v>50</v>
      </c>
      <c r="L5" s="325" t="s">
        <v>106</v>
      </c>
      <c r="M5" s="19"/>
      <c r="N5" s="25"/>
      <c r="O5" s="25"/>
      <c r="P5" s="103"/>
      <c r="Q5" s="72"/>
      <c r="R5" s="72"/>
      <c r="S5" s="72"/>
      <c r="T5" s="72"/>
      <c r="U5" s="72"/>
      <c r="V5" s="72"/>
      <c r="W5" s="72"/>
      <c r="X5" s="72"/>
      <c r="Y5" s="72"/>
      <c r="Z5" s="71"/>
      <c r="AA5" s="82"/>
      <c r="AB5" s="83"/>
    </row>
    <row r="6" spans="1:35" ht="18">
      <c r="A6" s="379" t="s">
        <v>153</v>
      </c>
      <c r="B6" s="323"/>
      <c r="C6" s="196"/>
      <c r="D6" s="178"/>
      <c r="E6" s="140"/>
      <c r="F6" s="302"/>
      <c r="G6" s="439"/>
      <c r="H6" s="213"/>
      <c r="I6" s="278"/>
      <c r="J6" s="178"/>
      <c r="K6" s="390">
        <f>C6+I6</f>
        <v>0</v>
      </c>
      <c r="L6" s="326"/>
      <c r="M6" s="108"/>
      <c r="N6" s="25"/>
      <c r="O6" s="25"/>
      <c r="P6" s="107"/>
      <c r="Q6" s="72"/>
      <c r="R6" s="72"/>
      <c r="S6" s="72"/>
      <c r="T6" s="72"/>
      <c r="U6" s="72"/>
      <c r="V6" s="72"/>
      <c r="W6" s="72"/>
      <c r="X6" s="72"/>
      <c r="Y6" s="72"/>
      <c r="Z6" s="71"/>
      <c r="AA6" s="82"/>
      <c r="AB6" s="83"/>
      <c r="AH6" s="28"/>
      <c r="AI6" s="28"/>
    </row>
    <row r="7" spans="1:35" ht="18">
      <c r="A7" s="379" t="s">
        <v>154</v>
      </c>
      <c r="B7" s="437">
        <v>1.9</v>
      </c>
      <c r="C7" s="196">
        <f>$B$15*B7+$B$16</f>
        <v>49.999000000000024</v>
      </c>
      <c r="D7" s="178"/>
      <c r="E7" s="389"/>
      <c r="F7" s="440">
        <v>0.05</v>
      </c>
      <c r="G7" s="441">
        <v>1.3</v>
      </c>
      <c r="H7" s="213">
        <f>+G7/F7</f>
        <v>26</v>
      </c>
      <c r="I7" s="278">
        <f>$F$14*H7+$F$15</f>
        <v>50.000000000000028</v>
      </c>
      <c r="J7" s="178">
        <f>RANK(I7,$I$6:$I$11)</f>
        <v>1</v>
      </c>
      <c r="K7" s="390">
        <f>C7+I7</f>
        <v>99.999000000000052</v>
      </c>
      <c r="L7" s="326"/>
      <c r="M7" s="108"/>
      <c r="N7" s="25"/>
      <c r="O7" s="25"/>
      <c r="P7" s="103"/>
      <c r="Q7" s="72"/>
      <c r="R7" s="72"/>
      <c r="S7" s="72"/>
      <c r="T7" s="72"/>
      <c r="U7" s="72"/>
      <c r="V7" s="72"/>
      <c r="W7" s="72"/>
      <c r="X7" s="72"/>
      <c r="Y7" s="72"/>
      <c r="Z7" s="71"/>
      <c r="AA7" s="82"/>
      <c r="AB7" s="83"/>
      <c r="AH7" s="28"/>
      <c r="AI7" s="28"/>
    </row>
    <row r="8" spans="1:35" ht="18">
      <c r="A8" s="379" t="s">
        <v>155</v>
      </c>
      <c r="B8" s="438"/>
      <c r="C8" s="196">
        <v>2.5</v>
      </c>
      <c r="D8" s="178">
        <f>RANK(C8,$C$6:$C$11)</f>
        <v>2</v>
      </c>
      <c r="E8" s="389"/>
      <c r="F8" s="440"/>
      <c r="G8" s="441"/>
      <c r="H8" s="213"/>
      <c r="I8" s="278"/>
      <c r="J8" s="178"/>
      <c r="K8" s="390">
        <f>C8+I8</f>
        <v>2.5</v>
      </c>
      <c r="L8" s="326"/>
      <c r="M8" s="86"/>
      <c r="N8" s="88"/>
      <c r="O8" s="84"/>
      <c r="P8" s="98"/>
      <c r="Q8" s="98"/>
      <c r="R8" s="98"/>
      <c r="S8" s="98"/>
      <c r="T8" s="98"/>
      <c r="U8" s="98"/>
      <c r="V8" s="98"/>
      <c r="W8" s="98"/>
      <c r="X8" s="98"/>
      <c r="Y8" s="98"/>
      <c r="Z8" s="89"/>
      <c r="AA8" s="95"/>
      <c r="AB8" s="99"/>
      <c r="AC8" s="42"/>
      <c r="AD8" s="29"/>
      <c r="AE8" s="29"/>
      <c r="AF8" s="29"/>
      <c r="AG8" s="29"/>
      <c r="AH8" s="28"/>
      <c r="AI8" s="28"/>
    </row>
    <row r="9" spans="1:35" ht="18">
      <c r="A9" s="379" t="s">
        <v>156</v>
      </c>
      <c r="B9" s="438">
        <v>2.0910000000000002</v>
      </c>
      <c r="C9" s="196">
        <f t="shared" ref="C9" si="0">$B$15*B9+$B$16</f>
        <v>2.4992099999999482</v>
      </c>
      <c r="D9" s="178">
        <f>RANK(C9,$C$6:$C$11)</f>
        <v>3</v>
      </c>
      <c r="E9" s="389"/>
      <c r="F9" s="440">
        <v>6.0999999999999999E-2</v>
      </c>
      <c r="G9" s="441">
        <v>1.3</v>
      </c>
      <c r="H9" s="213">
        <f t="shared" ref="H9" si="1">+G9/F9</f>
        <v>21.311475409836067</v>
      </c>
      <c r="I9" s="278">
        <f t="shared" ref="I9" si="2">$F$14*H9+$F$15</f>
        <v>0</v>
      </c>
      <c r="J9" s="178">
        <f t="shared" ref="J9" si="3">RANK(I9,$I$6:$I$11)</f>
        <v>2</v>
      </c>
      <c r="K9" s="390">
        <f>C9+I9</f>
        <v>2.4992099999999482</v>
      </c>
      <c r="L9" s="326"/>
      <c r="M9" s="86"/>
      <c r="N9" s="88"/>
      <c r="O9" s="84"/>
      <c r="P9" s="98"/>
      <c r="Q9" s="98"/>
      <c r="R9" s="98"/>
      <c r="S9" s="98"/>
      <c r="T9" s="98"/>
      <c r="U9" s="98"/>
      <c r="V9" s="98"/>
      <c r="W9" s="98"/>
      <c r="X9" s="98"/>
      <c r="Y9" s="98"/>
      <c r="Z9" s="89"/>
      <c r="AA9" s="95"/>
      <c r="AB9" s="99"/>
      <c r="AC9" s="42"/>
      <c r="AD9" s="29"/>
      <c r="AE9" s="29"/>
      <c r="AF9" s="29"/>
      <c r="AG9" s="29"/>
      <c r="AH9" s="28"/>
      <c r="AI9" s="28"/>
    </row>
    <row r="10" spans="1:35" ht="18">
      <c r="A10" s="379" t="s">
        <v>157</v>
      </c>
      <c r="B10" s="438"/>
      <c r="C10" s="196"/>
      <c r="D10" s="178"/>
      <c r="E10" s="389"/>
      <c r="F10" s="440"/>
      <c r="G10" s="441"/>
      <c r="H10" s="213"/>
      <c r="I10" s="278"/>
      <c r="J10" s="178"/>
      <c r="K10" s="390"/>
      <c r="L10" s="326"/>
      <c r="M10" s="86"/>
      <c r="N10" s="88"/>
      <c r="O10" s="84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89"/>
      <c r="AA10" s="100"/>
      <c r="AB10" s="99"/>
    </row>
    <row r="11" spans="1:35" ht="18">
      <c r="A11" s="379" t="s">
        <v>158</v>
      </c>
      <c r="B11" s="438"/>
      <c r="C11" s="196"/>
      <c r="D11" s="178"/>
      <c r="E11" s="389"/>
      <c r="F11" s="440"/>
      <c r="G11" s="441"/>
      <c r="H11" s="213"/>
      <c r="I11" s="278"/>
      <c r="J11" s="178"/>
      <c r="K11" s="390"/>
      <c r="L11" s="326"/>
      <c r="M11" s="86"/>
      <c r="N11" s="88"/>
      <c r="O11" s="84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89"/>
      <c r="AA11" s="100"/>
      <c r="AB11" s="99"/>
    </row>
    <row r="12" spans="1:35" ht="14.4">
      <c r="A12" s="284"/>
      <c r="B12" s="86"/>
      <c r="C12" s="86"/>
      <c r="D12" s="86"/>
      <c r="E12" s="388"/>
      <c r="F12" s="388"/>
      <c r="G12" s="388"/>
      <c r="H12" s="213"/>
      <c r="I12" s="278"/>
      <c r="J12" s="178"/>
      <c r="K12" s="390"/>
      <c r="L12" s="327"/>
      <c r="M12" s="78"/>
      <c r="N12" s="88"/>
      <c r="O12" s="84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89"/>
      <c r="AA12" s="100"/>
      <c r="AB12" s="99"/>
    </row>
    <row r="13" spans="1:35">
      <c r="A13" s="77"/>
      <c r="B13" s="86"/>
      <c r="C13" s="86"/>
      <c r="D13" s="86"/>
      <c r="E13" s="86"/>
      <c r="F13" s="86"/>
      <c r="G13" s="86"/>
      <c r="H13" s="86"/>
      <c r="I13" s="86"/>
      <c r="J13" s="391"/>
      <c r="K13" s="202"/>
      <c r="L13" s="86"/>
      <c r="M13" s="86"/>
      <c r="N13" s="88"/>
      <c r="O13" s="84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89"/>
      <c r="AA13" s="100"/>
      <c r="AB13" s="99"/>
    </row>
    <row r="14" spans="1:35" ht="13.8">
      <c r="A14" s="77"/>
      <c r="B14" s="86"/>
      <c r="C14" s="86"/>
      <c r="D14" s="86"/>
      <c r="E14" s="86"/>
      <c r="F14" s="291">
        <f>(50)/(J2-J1)</f>
        <v>10.664335664335667</v>
      </c>
      <c r="G14" s="86"/>
      <c r="I14" s="86"/>
      <c r="J14" s="86"/>
      <c r="K14" s="202"/>
      <c r="L14" s="86"/>
      <c r="M14" s="86"/>
      <c r="N14" s="88"/>
      <c r="O14" s="84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89"/>
      <c r="AA14" s="100"/>
      <c r="AB14" s="99"/>
    </row>
    <row r="15" spans="1:35" ht="13.8">
      <c r="A15" s="77" t="s">
        <v>145</v>
      </c>
      <c r="B15" s="291">
        <v>-248.69</v>
      </c>
      <c r="D15" s="117"/>
      <c r="E15" s="86"/>
      <c r="F15" s="292">
        <f>-(F14*J1)</f>
        <v>-227.27272727272734</v>
      </c>
      <c r="G15" s="86"/>
      <c r="I15" s="86"/>
      <c r="J15" s="86"/>
      <c r="K15" s="202"/>
      <c r="L15" s="86"/>
      <c r="M15" s="78"/>
      <c r="N15" s="88"/>
      <c r="O15" s="84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89"/>
      <c r="AA15" s="100"/>
      <c r="AB15" s="99"/>
    </row>
    <row r="16" spans="1:35" ht="13.8">
      <c r="A16" s="77" t="s">
        <v>146</v>
      </c>
      <c r="B16" s="292">
        <v>522.51</v>
      </c>
      <c r="D16" s="136" t="s">
        <v>38</v>
      </c>
      <c r="E16" s="78"/>
      <c r="F16" s="78"/>
      <c r="G16" s="78"/>
      <c r="H16" s="78"/>
      <c r="I16" s="78"/>
      <c r="J16" s="78"/>
      <c r="K16" s="202"/>
      <c r="L16" s="78"/>
      <c r="M16" s="78"/>
      <c r="N16" s="88"/>
      <c r="O16" s="84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89"/>
      <c r="AA16" s="100"/>
      <c r="AB16" s="99"/>
    </row>
    <row r="17" spans="1:28" ht="13.8">
      <c r="A17" s="77"/>
      <c r="B17" s="78"/>
      <c r="C17" s="135"/>
      <c r="D17" s="135"/>
      <c r="E17" s="86"/>
      <c r="F17" s="86"/>
      <c r="G17" s="86"/>
      <c r="H17" s="86"/>
      <c r="I17" s="86"/>
      <c r="J17" s="86"/>
      <c r="K17" s="202"/>
      <c r="L17" s="86"/>
      <c r="M17" s="86"/>
      <c r="N17" s="88"/>
      <c r="O17" s="84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89"/>
      <c r="AA17" s="100"/>
      <c r="AB17" s="99"/>
    </row>
    <row r="18" spans="1:28">
      <c r="A18" s="77"/>
      <c r="B18" s="86"/>
      <c r="C18" s="86" t="s">
        <v>66</v>
      </c>
      <c r="D18" s="86"/>
      <c r="E18" s="86"/>
      <c r="F18" s="86"/>
      <c r="G18" s="86"/>
      <c r="H18" s="86"/>
      <c r="I18" s="86"/>
      <c r="J18" s="86"/>
      <c r="K18" s="202"/>
      <c r="L18" s="86"/>
      <c r="M18" s="86"/>
      <c r="N18" s="88"/>
      <c r="O18" s="84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89"/>
      <c r="AA18" s="100"/>
      <c r="AB18" s="99"/>
    </row>
    <row r="19" spans="1:28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202"/>
      <c r="L19" s="78"/>
      <c r="M19" s="78"/>
      <c r="N19" s="88"/>
      <c r="O19" s="84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89"/>
      <c r="AA19" s="100"/>
      <c r="AB19" s="99"/>
    </row>
    <row r="20" spans="1:28">
      <c r="A20" s="77"/>
      <c r="B20" s="101"/>
      <c r="C20" s="86"/>
      <c r="D20" s="86"/>
      <c r="E20" s="86"/>
      <c r="F20" s="86"/>
      <c r="G20" s="86"/>
      <c r="H20" s="86"/>
      <c r="I20" s="86"/>
      <c r="J20" s="86"/>
      <c r="K20" s="202"/>
      <c r="L20" s="86"/>
      <c r="M20" s="86"/>
      <c r="N20" s="88"/>
      <c r="O20" s="84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89"/>
      <c r="AA20" s="100"/>
      <c r="AB20" s="99"/>
    </row>
    <row r="21" spans="1:28">
      <c r="A21" s="77"/>
      <c r="B21" s="86"/>
      <c r="C21" s="86"/>
      <c r="D21" s="86"/>
      <c r="E21" s="86"/>
      <c r="F21" s="86"/>
      <c r="G21" s="86"/>
      <c r="H21" s="86"/>
      <c r="I21" s="86"/>
      <c r="J21" s="86"/>
      <c r="K21" s="202"/>
      <c r="L21" s="86"/>
      <c r="M21" s="86"/>
      <c r="N21" s="89"/>
      <c r="O21" s="84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89"/>
      <c r="AA21" s="100"/>
      <c r="AB21" s="76"/>
    </row>
    <row r="22" spans="1:28">
      <c r="A22" s="77"/>
      <c r="B22" s="78"/>
      <c r="C22" s="78"/>
      <c r="D22" s="132"/>
      <c r="E22" s="66"/>
      <c r="F22" s="66"/>
      <c r="G22" s="78"/>
      <c r="H22" s="78"/>
      <c r="I22" s="78"/>
      <c r="J22" s="78"/>
      <c r="K22" s="202"/>
      <c r="L22" s="78"/>
      <c r="M22" s="78"/>
      <c r="N22" s="88"/>
      <c r="O22" s="84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89"/>
      <c r="AA22" s="100"/>
      <c r="AB22" s="99"/>
    </row>
    <row r="23" spans="1:28">
      <c r="A23" s="77"/>
      <c r="B23" s="86"/>
      <c r="C23" s="86"/>
      <c r="D23" s="66"/>
      <c r="E23" s="66"/>
      <c r="F23" s="131"/>
      <c r="G23" s="128"/>
      <c r="H23" s="128"/>
      <c r="I23" s="128"/>
      <c r="J23" s="86"/>
      <c r="K23" s="202"/>
      <c r="L23" s="86"/>
      <c r="M23" s="86"/>
      <c r="N23" s="88"/>
      <c r="O23" s="84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89"/>
      <c r="AA23" s="100"/>
      <c r="AB23" s="99"/>
    </row>
    <row r="24" spans="1:28">
      <c r="A24" s="77"/>
      <c r="B24" s="86"/>
      <c r="C24" s="78"/>
      <c r="D24" s="66"/>
      <c r="E24" s="66"/>
      <c r="F24" s="66"/>
      <c r="G24" s="78"/>
      <c r="H24" s="78"/>
      <c r="I24" s="78"/>
      <c r="J24" s="78"/>
      <c r="K24" s="202"/>
      <c r="L24" s="78"/>
      <c r="M24" s="78"/>
      <c r="N24" s="8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89"/>
      <c r="AA24" s="100"/>
      <c r="AB24" s="99"/>
    </row>
    <row r="25" spans="1:28">
      <c r="A25" s="71"/>
      <c r="B25" s="78"/>
      <c r="C25" s="78"/>
      <c r="D25" s="78"/>
      <c r="E25" s="78"/>
      <c r="F25" s="78"/>
      <c r="G25" s="78"/>
      <c r="H25" s="78"/>
      <c r="I25" s="78"/>
      <c r="J25" s="78"/>
      <c r="K25" s="202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00"/>
      <c r="AB25" s="76"/>
    </row>
    <row r="26" spans="1:28">
      <c r="A26" s="71"/>
      <c r="B26" s="78"/>
      <c r="C26" s="78"/>
      <c r="D26" s="78"/>
      <c r="E26" s="78"/>
      <c r="F26" s="78"/>
      <c r="G26" s="78"/>
      <c r="H26" s="78"/>
      <c r="I26" s="78"/>
      <c r="J26" s="78"/>
      <c r="K26" s="202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100"/>
      <c r="AB26" s="76"/>
    </row>
    <row r="27" spans="1:28">
      <c r="A27" s="71"/>
      <c r="B27" s="80"/>
      <c r="C27" s="80"/>
      <c r="D27" s="80"/>
      <c r="E27" s="80"/>
      <c r="F27" s="80"/>
      <c r="G27" s="80"/>
      <c r="H27" s="80"/>
      <c r="I27" s="80"/>
      <c r="J27" s="80"/>
      <c r="K27" s="203"/>
      <c r="L27" s="80"/>
      <c r="M27" s="80"/>
      <c r="N27" s="80"/>
      <c r="O27" s="78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100"/>
      <c r="AB27" s="76"/>
    </row>
    <row r="28" spans="1:28">
      <c r="A28" s="91"/>
      <c r="B28" s="78"/>
      <c r="C28" s="78"/>
      <c r="D28" s="78"/>
      <c r="E28" s="78"/>
      <c r="F28" s="78"/>
      <c r="G28" s="78"/>
      <c r="H28" s="78"/>
      <c r="I28" s="78"/>
      <c r="J28" s="78"/>
      <c r="K28" s="202"/>
      <c r="L28" s="78"/>
      <c r="M28" s="78"/>
      <c r="N28" s="88"/>
      <c r="O28" s="84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89"/>
      <c r="AA28" s="100"/>
      <c r="AB28" s="99"/>
    </row>
    <row r="29" spans="1:28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202"/>
      <c r="L29" s="78"/>
      <c r="M29" s="78"/>
      <c r="N29" s="88"/>
      <c r="O29" s="84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89"/>
      <c r="AA29" s="100"/>
      <c r="AB29" s="99"/>
    </row>
    <row r="30" spans="1:28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202"/>
      <c r="L30" s="78"/>
      <c r="M30" s="78"/>
      <c r="N30" s="88"/>
      <c r="O30" s="84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89"/>
      <c r="AA30" s="100"/>
      <c r="AB30" s="99"/>
    </row>
    <row r="31" spans="1:28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202"/>
      <c r="L31" s="78"/>
      <c r="M31" s="78"/>
      <c r="N31" s="88"/>
      <c r="O31" s="84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89"/>
      <c r="AA31" s="100"/>
      <c r="AB31" s="99"/>
    </row>
    <row r="32" spans="1:28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202"/>
      <c r="L32" s="78"/>
      <c r="M32" s="78"/>
      <c r="N32" s="88"/>
      <c r="O32" s="84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89"/>
      <c r="AA32" s="100"/>
      <c r="AB32" s="99"/>
    </row>
    <row r="33" spans="1:28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202"/>
      <c r="L33" s="78"/>
      <c r="M33" s="78"/>
      <c r="N33" s="88"/>
      <c r="O33" s="84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89"/>
      <c r="AA33" s="100"/>
      <c r="AB33" s="99"/>
    </row>
    <row r="34" spans="1:28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202"/>
      <c r="L34" s="78"/>
      <c r="M34" s="78"/>
      <c r="N34" s="88"/>
      <c r="O34" s="84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89"/>
      <c r="AA34" s="100"/>
      <c r="AB34" s="99"/>
    </row>
    <row r="35" spans="1:28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202"/>
      <c r="L35" s="78"/>
      <c r="M35" s="78"/>
      <c r="N35" s="88"/>
      <c r="O35" s="84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89"/>
      <c r="AA35" s="100"/>
      <c r="AB35" s="99"/>
    </row>
    <row r="36" spans="1:28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202"/>
      <c r="L36" s="78"/>
      <c r="M36" s="78"/>
      <c r="N36" s="88"/>
      <c r="O36" s="84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89"/>
      <c r="AA36" s="100"/>
      <c r="AB36" s="99"/>
    </row>
    <row r="37" spans="1:28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202"/>
      <c r="L37" s="78"/>
      <c r="M37" s="78"/>
      <c r="N37" s="88"/>
      <c r="O37" s="84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89"/>
      <c r="AA37" s="100"/>
      <c r="AB37" s="99"/>
    </row>
    <row r="38" spans="1:28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202"/>
      <c r="L38" s="78"/>
      <c r="M38" s="78"/>
      <c r="N38" s="88"/>
      <c r="O38" s="84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89"/>
      <c r="AA38" s="100"/>
      <c r="AB38" s="99"/>
    </row>
    <row r="39" spans="1:28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202"/>
      <c r="L39" s="78"/>
      <c r="M39" s="78"/>
      <c r="N39" s="88"/>
      <c r="O39" s="84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89"/>
      <c r="AA39" s="100"/>
      <c r="AB39" s="99"/>
    </row>
    <row r="40" spans="1:28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202"/>
      <c r="L40" s="78"/>
      <c r="M40" s="78"/>
      <c r="N40" s="88"/>
      <c r="O40" s="84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89"/>
      <c r="AA40" s="100"/>
      <c r="AB40" s="99"/>
    </row>
    <row r="41" spans="1:28">
      <c r="A41" s="77"/>
      <c r="B41" s="86"/>
      <c r="C41" s="86"/>
      <c r="D41" s="86"/>
      <c r="E41" s="86"/>
      <c r="F41" s="86"/>
      <c r="G41" s="86"/>
      <c r="H41" s="86"/>
      <c r="I41" s="86"/>
      <c r="J41" s="86"/>
      <c r="K41" s="202"/>
      <c r="L41" s="86"/>
      <c r="M41" s="86"/>
      <c r="N41" s="89"/>
      <c r="O41" s="84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9"/>
      <c r="AA41" s="100"/>
      <c r="AB41" s="76"/>
    </row>
    <row r="42" spans="1:28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202"/>
      <c r="L42" s="78"/>
      <c r="M42" s="78"/>
      <c r="N42" s="88"/>
      <c r="O42" s="84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89"/>
      <c r="AA42" s="100"/>
      <c r="AB42" s="99"/>
    </row>
    <row r="43" spans="1:28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202"/>
      <c r="L43" s="78"/>
      <c r="M43" s="78"/>
      <c r="N43" s="88"/>
      <c r="O43" s="84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89"/>
      <c r="AA43" s="100"/>
      <c r="AB43" s="99"/>
    </row>
    <row r="44" spans="1:28">
      <c r="A44" s="77"/>
      <c r="B44" s="100"/>
      <c r="C44" s="100"/>
      <c r="D44" s="100"/>
      <c r="E44" s="100"/>
      <c r="F44" s="100"/>
      <c r="G44" s="100"/>
      <c r="H44" s="100"/>
      <c r="I44" s="100"/>
      <c r="J44" s="100"/>
      <c r="K44" s="204"/>
      <c r="L44" s="100"/>
      <c r="M44" s="100"/>
      <c r="N44" s="92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93"/>
      <c r="AA44" s="100"/>
      <c r="AB44" s="76"/>
    </row>
    <row r="45" spans="1:28">
      <c r="A45" s="82"/>
      <c r="B45" s="100"/>
      <c r="C45" s="100"/>
      <c r="D45" s="100"/>
      <c r="E45" s="100"/>
      <c r="F45" s="100"/>
      <c r="G45" s="100"/>
      <c r="H45" s="100"/>
      <c r="I45" s="100"/>
      <c r="J45" s="100"/>
      <c r="K45" s="204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76"/>
    </row>
    <row r="46" spans="1:28">
      <c r="A46" s="82"/>
      <c r="B46" s="76"/>
      <c r="C46" s="76"/>
      <c r="D46" s="76"/>
      <c r="E46" s="76"/>
      <c r="F46" s="76"/>
      <c r="G46" s="76"/>
      <c r="H46" s="76"/>
      <c r="I46" s="76"/>
      <c r="J46" s="76"/>
      <c r="K46" s="205"/>
      <c r="L46" s="76"/>
      <c r="M46" s="76"/>
      <c r="N46" s="100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</row>
    <row r="47" spans="1:28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206"/>
      <c r="L47" s="83"/>
      <c r="M47" s="83"/>
      <c r="N47" s="90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</row>
    <row r="48" spans="1:28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206"/>
      <c r="L48" s="83"/>
      <c r="M48" s="83"/>
      <c r="N48" s="90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</row>
    <row r="49" spans="1:28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206"/>
      <c r="L49" s="83"/>
      <c r="M49" s="83"/>
      <c r="N49" s="90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</row>
    <row r="50" spans="1:28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206"/>
      <c r="L50" s="83"/>
      <c r="M50" s="83"/>
      <c r="N50" s="90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</row>
    <row r="51" spans="1:28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207"/>
      <c r="L51" s="83"/>
      <c r="M51" s="83"/>
      <c r="N51" s="90"/>
      <c r="O51" s="83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2"/>
      <c r="AA51" s="82"/>
      <c r="AB51" s="83"/>
    </row>
    <row r="52" spans="1:28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207"/>
      <c r="L52" s="83"/>
      <c r="M52" s="83"/>
      <c r="N52" s="90"/>
      <c r="O52" s="83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2"/>
      <c r="AA52" s="82"/>
      <c r="AB52" s="83"/>
    </row>
    <row r="53" spans="1:28">
      <c r="A53" s="82"/>
      <c r="N53" s="38"/>
    </row>
    <row r="54" spans="1:28">
      <c r="N54" s="38"/>
    </row>
    <row r="55" spans="1:28">
      <c r="N55" s="38"/>
    </row>
    <row r="56" spans="1:28">
      <c r="N56" s="38"/>
    </row>
    <row r="57" spans="1:28">
      <c r="N57" s="38"/>
    </row>
    <row r="58" spans="1:28">
      <c r="N58" s="38"/>
    </row>
    <row r="59" spans="1:28">
      <c r="N59" s="38"/>
    </row>
    <row r="60" spans="1:28">
      <c r="N60" s="38"/>
    </row>
    <row r="61" spans="1:28">
      <c r="N61" s="38"/>
    </row>
    <row r="62" spans="1:28">
      <c r="N62" s="38"/>
    </row>
    <row r="63" spans="1:28">
      <c r="N63" s="38"/>
    </row>
    <row r="64" spans="1:28">
      <c r="N64" s="38"/>
    </row>
    <row r="65" spans="14:14">
      <c r="N65" s="38"/>
    </row>
    <row r="66" spans="14:14">
      <c r="N66" s="38"/>
    </row>
    <row r="67" spans="14:14">
      <c r="N67" s="38"/>
    </row>
    <row r="68" spans="14:14">
      <c r="N68" s="38"/>
    </row>
    <row r="69" spans="14:14">
      <c r="N69" s="38"/>
    </row>
    <row r="70" spans="14:14">
      <c r="N70" s="38"/>
    </row>
    <row r="71" spans="14:14">
      <c r="N71" s="38"/>
    </row>
    <row r="72" spans="14:14">
      <c r="N72" s="38"/>
    </row>
    <row r="73" spans="14:14">
      <c r="N73" s="38"/>
    </row>
    <row r="74" spans="14:14">
      <c r="N74" s="38"/>
    </row>
    <row r="75" spans="14:14">
      <c r="N75" s="38"/>
    </row>
    <row r="76" spans="14:14">
      <c r="N76" s="38"/>
    </row>
    <row r="77" spans="14:14">
      <c r="N77" s="38"/>
    </row>
    <row r="78" spans="14:14">
      <c r="N78" s="38"/>
    </row>
    <row r="79" spans="14:14">
      <c r="N79" s="38"/>
    </row>
    <row r="80" spans="14:14">
      <c r="N80" s="38"/>
    </row>
    <row r="81" spans="14:14">
      <c r="N81" s="38"/>
    </row>
    <row r="82" spans="14:14">
      <c r="N82" s="38"/>
    </row>
    <row r="83" spans="14:14">
      <c r="N83" s="38"/>
    </row>
    <row r="84" spans="14:14">
      <c r="N84" s="38"/>
    </row>
    <row r="85" spans="14:14">
      <c r="N85" s="38"/>
    </row>
    <row r="86" spans="14:14">
      <c r="N86" s="38"/>
    </row>
  </sheetData>
  <phoneticPr fontId="19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13" sqref="B13"/>
    </sheetView>
  </sheetViews>
  <sheetFormatPr defaultColWidth="8.88671875" defaultRowHeight="13.2"/>
  <cols>
    <col min="1" max="1" width="48.6640625" customWidth="1"/>
    <col min="2" max="2" width="17.6640625" bestFit="1" customWidth="1"/>
    <col min="3" max="3" width="14.6640625" style="127" customWidth="1"/>
    <col min="4" max="4" width="8.88671875" style="3"/>
  </cols>
  <sheetData>
    <row r="1" spans="1:5" ht="17.399999999999999">
      <c r="A1" s="7" t="s">
        <v>178</v>
      </c>
      <c r="B1" s="6"/>
      <c r="C1" s="177"/>
      <c r="D1" s="17"/>
      <c r="E1" s="6"/>
    </row>
    <row r="2" spans="1:5">
      <c r="A2" s="155"/>
      <c r="B2" s="10"/>
      <c r="C2" s="177"/>
      <c r="D2" s="188"/>
      <c r="E2" s="6"/>
    </row>
    <row r="3" spans="1:5">
      <c r="A3" s="12"/>
      <c r="B3" s="14" t="s">
        <v>16</v>
      </c>
      <c r="C3" s="49" t="s">
        <v>13</v>
      </c>
      <c r="D3" s="188"/>
      <c r="E3" s="188"/>
    </row>
    <row r="4" spans="1:5" ht="18">
      <c r="A4" s="346" t="s">
        <v>153</v>
      </c>
      <c r="B4" s="293" t="s">
        <v>194</v>
      </c>
      <c r="C4" s="429">
        <f>IF(B4="fail",0,50)</f>
        <v>0</v>
      </c>
      <c r="D4" s="188"/>
      <c r="E4" s="6"/>
    </row>
    <row r="5" spans="1:5" ht="18">
      <c r="A5" s="346" t="s">
        <v>154</v>
      </c>
      <c r="B5" s="293" t="s">
        <v>194</v>
      </c>
      <c r="C5" s="429">
        <f t="shared" ref="C5:C9" si="0">IF(B5="fail",0,50)</f>
        <v>0</v>
      </c>
      <c r="D5" s="188"/>
      <c r="E5" s="6"/>
    </row>
    <row r="6" spans="1:5" ht="18">
      <c r="A6" s="346" t="s">
        <v>155</v>
      </c>
      <c r="B6" s="293" t="s">
        <v>194</v>
      </c>
      <c r="C6" s="429">
        <f t="shared" si="0"/>
        <v>0</v>
      </c>
    </row>
    <row r="7" spans="1:5" ht="18">
      <c r="A7" s="346" t="s">
        <v>156</v>
      </c>
      <c r="B7" s="293" t="s">
        <v>175</v>
      </c>
      <c r="C7" s="429">
        <f t="shared" si="0"/>
        <v>50</v>
      </c>
    </row>
    <row r="8" spans="1:5" ht="18">
      <c r="A8" s="346" t="s">
        <v>157</v>
      </c>
      <c r="B8" s="293" t="s">
        <v>194</v>
      </c>
      <c r="C8" s="429">
        <f t="shared" si="0"/>
        <v>0</v>
      </c>
    </row>
    <row r="9" spans="1:5" ht="18">
      <c r="A9" s="346" t="s">
        <v>158</v>
      </c>
      <c r="B9" s="293" t="s">
        <v>194</v>
      </c>
      <c r="C9" s="429">
        <f t="shared" si="0"/>
        <v>0</v>
      </c>
    </row>
    <row r="10" spans="1:5">
      <c r="C10" s="231"/>
    </row>
    <row r="11" spans="1:5">
      <c r="C11" s="231"/>
    </row>
    <row r="12" spans="1:5">
      <c r="B12" s="232"/>
      <c r="C12" s="231"/>
    </row>
  </sheetData>
  <phoneticPr fontId="19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19"/>
  <sheetViews>
    <sheetView workbookViewId="0">
      <selection activeCell="I14" sqref="I14"/>
    </sheetView>
  </sheetViews>
  <sheetFormatPr defaultColWidth="8.88671875" defaultRowHeight="13.2"/>
  <cols>
    <col min="1" max="1" width="49.3320312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8" width="11" customWidth="1"/>
    <col min="9" max="9" width="48" customWidth="1"/>
    <col min="10" max="11" width="10" customWidth="1"/>
  </cols>
  <sheetData>
    <row r="1" spans="1:13" ht="17.399999999999999">
      <c r="A1" s="329" t="s">
        <v>179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177"/>
      <c r="B2" s="6"/>
      <c r="E2" s="9" t="s">
        <v>192</v>
      </c>
      <c r="F2" s="60">
        <f>MAX(G6:G9)</f>
        <v>860</v>
      </c>
      <c r="G2" s="177" t="s">
        <v>180</v>
      </c>
      <c r="H2" s="177"/>
      <c r="I2" s="6"/>
      <c r="J2" s="6"/>
      <c r="K2" s="6"/>
      <c r="L2" s="6"/>
      <c r="M2" s="6"/>
    </row>
    <row r="3" spans="1:13">
      <c r="A3" s="153"/>
      <c r="B3" s="6"/>
      <c r="E3" s="9" t="s">
        <v>201</v>
      </c>
      <c r="F3" s="60">
        <f>MIN(G6:G10)</f>
        <v>470</v>
      </c>
      <c r="G3" s="177" t="s">
        <v>180</v>
      </c>
      <c r="H3" s="177"/>
      <c r="I3" s="6"/>
      <c r="J3" s="6"/>
      <c r="K3" s="6"/>
      <c r="L3" s="6"/>
      <c r="M3" s="6"/>
    </row>
    <row r="4" spans="1:13">
      <c r="A4" s="15"/>
      <c r="B4" s="15"/>
      <c r="C4" s="15"/>
      <c r="D4" s="15"/>
      <c r="E4" s="15"/>
      <c r="F4" s="6"/>
      <c r="G4" s="15"/>
      <c r="H4" s="15"/>
      <c r="I4" s="15"/>
      <c r="J4" s="15"/>
      <c r="K4" s="6"/>
      <c r="L4" s="6"/>
      <c r="M4" s="6"/>
    </row>
    <row r="5" spans="1:13" ht="30.75" customHeight="1">
      <c r="A5" s="68"/>
      <c r="B5" s="420" t="s">
        <v>188</v>
      </c>
      <c r="C5" s="420" t="s">
        <v>189</v>
      </c>
      <c r="D5" s="420" t="s">
        <v>190</v>
      </c>
      <c r="E5" s="420" t="s">
        <v>191</v>
      </c>
      <c r="F5" s="420" t="s">
        <v>58</v>
      </c>
      <c r="G5" s="420" t="s">
        <v>192</v>
      </c>
      <c r="H5" s="420" t="s">
        <v>42</v>
      </c>
      <c r="I5" s="420" t="s">
        <v>148</v>
      </c>
      <c r="J5" s="334" t="s">
        <v>69</v>
      </c>
      <c r="K5" s="13"/>
      <c r="L5" s="5"/>
      <c r="M5" s="6"/>
    </row>
    <row r="6" spans="1:13" ht="18">
      <c r="A6" s="346" t="s">
        <v>153</v>
      </c>
      <c r="B6" s="421">
        <v>860</v>
      </c>
      <c r="C6" s="421">
        <v>748</v>
      </c>
      <c r="D6" s="421">
        <v>648</v>
      </c>
      <c r="E6" s="421"/>
      <c r="F6" s="421">
        <f>AVERAGE(B6:E6)</f>
        <v>752</v>
      </c>
      <c r="G6" s="422">
        <f>MAX(B6:E6)</f>
        <v>860</v>
      </c>
      <c r="H6" s="444">
        <f>IF((G6=$F$3),5,((G6-$F$16)/$F$15))</f>
        <v>100</v>
      </c>
      <c r="I6" s="419">
        <v>1</v>
      </c>
      <c r="J6" s="176"/>
      <c r="K6" s="24"/>
      <c r="L6" s="17"/>
      <c r="M6" s="6"/>
    </row>
    <row r="7" spans="1:13" ht="18">
      <c r="A7" s="346" t="s">
        <v>154</v>
      </c>
      <c r="B7" s="421">
        <v>557</v>
      </c>
      <c r="C7" s="421">
        <v>579.70000000000005</v>
      </c>
      <c r="D7" s="421">
        <v>608</v>
      </c>
      <c r="E7" s="421">
        <v>547.5</v>
      </c>
      <c r="F7" s="421">
        <f>AVERAGE(B7:E7)</f>
        <v>573.04999999999995</v>
      </c>
      <c r="G7" s="422">
        <f>MAX(B7:E7)</f>
        <v>608</v>
      </c>
      <c r="H7" s="444">
        <f t="shared" ref="H7:H9" si="0">IF((G7=$F$3),5,((G7-$F$16)/$F$15))</f>
        <v>35.384615384615387</v>
      </c>
      <c r="I7" s="419">
        <v>3</v>
      </c>
      <c r="J7" s="335"/>
      <c r="K7" s="24"/>
      <c r="L7" s="17"/>
      <c r="M7" s="6"/>
    </row>
    <row r="8" spans="1:13" ht="18">
      <c r="A8" s="346" t="s">
        <v>155</v>
      </c>
      <c r="B8" s="421">
        <v>470</v>
      </c>
      <c r="C8" s="421">
        <v>452</v>
      </c>
      <c r="D8" s="421">
        <v>415</v>
      </c>
      <c r="E8" s="421">
        <v>390</v>
      </c>
      <c r="F8" s="421">
        <f>AVERAGE(B8:E8)</f>
        <v>431.75</v>
      </c>
      <c r="G8" s="422">
        <f>MAX(B8:E8)</f>
        <v>470</v>
      </c>
      <c r="H8" s="444">
        <f t="shared" si="0"/>
        <v>5</v>
      </c>
      <c r="I8" s="419">
        <v>4</v>
      </c>
      <c r="J8" s="335"/>
    </row>
    <row r="9" spans="1:13" ht="18">
      <c r="A9" s="346" t="s">
        <v>156</v>
      </c>
      <c r="B9" s="419">
        <v>630</v>
      </c>
      <c r="C9" s="419">
        <v>588</v>
      </c>
      <c r="D9" s="421">
        <v>567.45600000000002</v>
      </c>
      <c r="E9" s="419"/>
      <c r="F9" s="421">
        <f>AVERAGE(B9:E9)</f>
        <v>595.15200000000004</v>
      </c>
      <c r="G9" s="422">
        <f>MAX(B9:E9)</f>
        <v>630</v>
      </c>
      <c r="H9" s="444">
        <f t="shared" si="0"/>
        <v>41.025641025641029</v>
      </c>
      <c r="I9" s="419">
        <v>2</v>
      </c>
      <c r="J9" s="335"/>
    </row>
    <row r="10" spans="1:13" ht="18">
      <c r="A10" s="346" t="s">
        <v>157</v>
      </c>
      <c r="B10" s="419"/>
      <c r="C10" s="419"/>
      <c r="D10" s="419"/>
      <c r="E10" s="419"/>
      <c r="F10" s="419"/>
      <c r="G10" s="419"/>
      <c r="H10" s="445"/>
      <c r="I10" s="419"/>
      <c r="J10" s="335"/>
    </row>
    <row r="11" spans="1:13" ht="18">
      <c r="A11" s="346" t="s">
        <v>158</v>
      </c>
      <c r="B11" s="419"/>
      <c r="C11" s="419"/>
      <c r="D11" s="419"/>
      <c r="E11" s="419"/>
      <c r="F11" s="419"/>
      <c r="G11" s="419"/>
      <c r="H11" s="445"/>
      <c r="I11" s="419"/>
      <c r="J11" s="335"/>
    </row>
    <row r="12" spans="1:13">
      <c r="B12" s="116"/>
    </row>
    <row r="14" spans="1:13">
      <c r="E14" s="231" t="s">
        <v>119</v>
      </c>
      <c r="F14" s="231"/>
    </row>
    <row r="15" spans="1:13">
      <c r="E15" s="231" t="s">
        <v>116</v>
      </c>
      <c r="F15" s="239">
        <f>(F2-F3)/100</f>
        <v>3.9</v>
      </c>
    </row>
    <row r="16" spans="1:13">
      <c r="E16" s="231" t="s">
        <v>117</v>
      </c>
      <c r="F16" s="185">
        <f>F3</f>
        <v>470</v>
      </c>
    </row>
    <row r="18" spans="5:6">
      <c r="E18" s="231" t="s">
        <v>181</v>
      </c>
      <c r="F18">
        <v>5</v>
      </c>
    </row>
    <row r="19" spans="5:6">
      <c r="E19" s="231" t="s">
        <v>182</v>
      </c>
      <c r="F19">
        <v>100</v>
      </c>
    </row>
  </sheetData>
  <phoneticPr fontId="19" type="noConversion"/>
  <printOptions gridLines="1"/>
  <pageMargins left="0.75" right="0.75" top="1" bottom="1" header="0.5" footer="0.5"/>
  <pageSetup scale="82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18"/>
  <sheetViews>
    <sheetView zoomScaleNormal="100" zoomScalePageLayoutView="125" workbookViewId="0">
      <selection activeCell="K8" sqref="K8"/>
    </sheetView>
  </sheetViews>
  <sheetFormatPr defaultColWidth="8.88671875" defaultRowHeight="13.2"/>
  <cols>
    <col min="1" max="1" width="50.5546875" customWidth="1"/>
    <col min="2" max="2" width="12.44140625" customWidth="1"/>
    <col min="3" max="3" width="12.6640625" style="3" customWidth="1"/>
    <col min="4" max="4" width="12.33203125" customWidth="1"/>
    <col min="5" max="5" width="14" customWidth="1"/>
    <col min="6" max="6" width="10.6640625" customWidth="1"/>
    <col min="7" max="7" width="9.88671875" customWidth="1"/>
    <col min="8" max="8" width="15.6640625" style="127" customWidth="1"/>
    <col min="9" max="9" width="13.44140625" customWidth="1"/>
    <col min="10" max="10" width="5.44140625" style="127" bestFit="1" customWidth="1"/>
    <col min="11" max="11" width="24" customWidth="1"/>
  </cols>
  <sheetData>
    <row r="1" spans="1:11" ht="17.399999999999999">
      <c r="A1" s="7" t="s">
        <v>183</v>
      </c>
      <c r="B1" s="7"/>
      <c r="C1" s="17"/>
      <c r="D1" s="6"/>
      <c r="E1" s="6"/>
      <c r="F1" s="6"/>
      <c r="G1" s="6"/>
      <c r="H1" s="177"/>
      <c r="I1" s="6"/>
      <c r="J1" s="177"/>
      <c r="K1" s="6"/>
    </row>
    <row r="2" spans="1:11">
      <c r="A2" s="23"/>
      <c r="B2" s="23"/>
      <c r="C2" s="46"/>
      <c r="D2" s="23"/>
      <c r="E2" s="23"/>
      <c r="F2" s="23"/>
      <c r="G2" s="23"/>
      <c r="H2" s="189"/>
      <c r="I2" s="23"/>
      <c r="J2" s="177"/>
      <c r="K2" s="6"/>
    </row>
    <row r="3" spans="1:11" s="121" customFormat="1" ht="39.6">
      <c r="A3" s="120"/>
      <c r="B3" s="35" t="s">
        <v>33</v>
      </c>
      <c r="C3" s="35" t="s">
        <v>6</v>
      </c>
      <c r="D3" s="35" t="s">
        <v>51</v>
      </c>
      <c r="E3" s="35" t="s">
        <v>43</v>
      </c>
      <c r="F3" s="35" t="s">
        <v>70</v>
      </c>
      <c r="G3" s="35" t="s">
        <v>7</v>
      </c>
      <c r="H3" s="170" t="s">
        <v>52</v>
      </c>
      <c r="I3" s="35" t="s">
        <v>53</v>
      </c>
      <c r="J3" s="32" t="s">
        <v>50</v>
      </c>
      <c r="K3" s="35" t="s">
        <v>40</v>
      </c>
    </row>
    <row r="4" spans="1:11" s="288" customFormat="1" ht="18">
      <c r="A4" s="346" t="s">
        <v>153</v>
      </c>
      <c r="B4" s="214"/>
      <c r="C4" s="214"/>
      <c r="D4" s="214"/>
      <c r="E4" s="214"/>
      <c r="F4" s="214"/>
      <c r="G4" s="214">
        <v>-25</v>
      </c>
      <c r="H4" s="214"/>
      <c r="I4" s="285"/>
      <c r="J4" s="286">
        <f t="shared" ref="J4:J9" si="0">SUM(B4:I4)</f>
        <v>-25</v>
      </c>
      <c r="K4" s="287" t="s">
        <v>202</v>
      </c>
    </row>
    <row r="5" spans="1:11" s="288" customFormat="1" ht="18">
      <c r="A5" s="346" t="s">
        <v>154</v>
      </c>
      <c r="B5" s="214"/>
      <c r="C5" s="214"/>
      <c r="D5" s="214"/>
      <c r="E5" s="214"/>
      <c r="F5" s="214"/>
      <c r="G5" s="214">
        <v>-5</v>
      </c>
      <c r="H5" s="214"/>
      <c r="I5" s="214"/>
      <c r="J5" s="286">
        <f t="shared" si="0"/>
        <v>-5</v>
      </c>
      <c r="K5" s="287" t="s">
        <v>200</v>
      </c>
    </row>
    <row r="6" spans="1:11" ht="18">
      <c r="A6" s="346" t="s">
        <v>155</v>
      </c>
      <c r="B6" s="398"/>
      <c r="C6" s="399"/>
      <c r="D6" s="400"/>
      <c r="E6" s="400"/>
      <c r="F6" s="401"/>
      <c r="G6" s="402"/>
      <c r="H6" s="403">
        <v>100</v>
      </c>
      <c r="I6" s="404"/>
      <c r="J6" s="286">
        <f t="shared" si="0"/>
        <v>100</v>
      </c>
      <c r="K6" s="6"/>
    </row>
    <row r="7" spans="1:11" ht="18">
      <c r="A7" s="346" t="s">
        <v>156</v>
      </c>
      <c r="B7" s="398"/>
      <c r="C7" s="399"/>
      <c r="D7" s="400"/>
      <c r="E7" s="400"/>
      <c r="F7" s="401"/>
      <c r="G7" s="405"/>
      <c r="H7" s="403">
        <v>100</v>
      </c>
      <c r="I7" s="404"/>
      <c r="J7" s="286">
        <f t="shared" si="0"/>
        <v>100</v>
      </c>
      <c r="K7" s="6"/>
    </row>
    <row r="8" spans="1:11" ht="18">
      <c r="A8" s="346" t="s">
        <v>157</v>
      </c>
      <c r="B8" s="398"/>
      <c r="C8" s="399"/>
      <c r="D8" s="400"/>
      <c r="E8" s="400"/>
      <c r="F8" s="401"/>
      <c r="G8" s="402"/>
      <c r="H8" s="403"/>
      <c r="I8" s="404"/>
      <c r="J8" s="286">
        <f t="shared" si="0"/>
        <v>0</v>
      </c>
      <c r="K8" s="6"/>
    </row>
    <row r="9" spans="1:11" ht="18">
      <c r="A9" s="346" t="s">
        <v>158</v>
      </c>
      <c r="B9" s="398"/>
      <c r="C9" s="399"/>
      <c r="D9" s="400"/>
      <c r="E9" s="400"/>
      <c r="F9" s="401"/>
      <c r="G9" s="402"/>
      <c r="H9" s="403"/>
      <c r="I9" s="404"/>
      <c r="J9" s="286">
        <f t="shared" si="0"/>
        <v>0</v>
      </c>
      <c r="K9" s="6"/>
    </row>
    <row r="10" spans="1:11" ht="15">
      <c r="A10" s="21"/>
      <c r="B10" s="21"/>
      <c r="C10" s="209"/>
      <c r="D10" s="43"/>
      <c r="E10" s="43"/>
      <c r="F10" s="36"/>
      <c r="G10" s="46"/>
      <c r="H10" s="187"/>
      <c r="I10" s="26"/>
      <c r="J10" s="177"/>
      <c r="K10" s="6"/>
    </row>
    <row r="11" spans="1:11" ht="15">
      <c r="A11" s="21"/>
      <c r="B11" s="21"/>
      <c r="C11" s="209"/>
      <c r="D11" s="43"/>
      <c r="E11" s="43"/>
      <c r="F11" s="36"/>
      <c r="G11" s="46"/>
      <c r="H11" s="187"/>
      <c r="I11" s="26"/>
      <c r="J11" s="177"/>
      <c r="K11" s="6"/>
    </row>
    <row r="12" spans="1:11" ht="15">
      <c r="A12" s="21"/>
      <c r="B12" s="21"/>
      <c r="C12" s="209"/>
      <c r="D12" s="43"/>
      <c r="E12" s="43"/>
      <c r="F12" s="36"/>
      <c r="G12" s="46"/>
      <c r="H12" s="187"/>
      <c r="I12" s="26"/>
      <c r="J12" s="177"/>
      <c r="K12" s="6"/>
    </row>
    <row r="13" spans="1:11">
      <c r="A13" s="21"/>
      <c r="B13" s="21"/>
      <c r="C13" s="209"/>
      <c r="D13" s="43"/>
      <c r="E13" s="43"/>
      <c r="F13" s="36"/>
      <c r="G13" s="46"/>
      <c r="H13" s="187"/>
      <c r="I13" s="23"/>
      <c r="J13" s="177"/>
      <c r="K13" s="6"/>
    </row>
    <row r="14" spans="1:11" ht="15">
      <c r="A14" s="21"/>
      <c r="B14" s="21"/>
      <c r="C14" s="209"/>
      <c r="D14" s="43"/>
      <c r="E14" s="43"/>
      <c r="F14" s="36"/>
      <c r="G14" s="46"/>
      <c r="H14" s="187"/>
      <c r="I14" s="26"/>
      <c r="J14" s="177"/>
      <c r="K14" s="6"/>
    </row>
    <row r="15" spans="1:11">
      <c r="A15" s="21"/>
      <c r="B15" s="21"/>
      <c r="C15" s="210"/>
      <c r="D15" s="44"/>
      <c r="E15" s="44"/>
      <c r="F15" s="36"/>
      <c r="G15" s="46"/>
      <c r="H15" s="187"/>
      <c r="I15" s="1"/>
    </row>
    <row r="16" spans="1:11">
      <c r="A16" s="1"/>
      <c r="B16" s="1"/>
      <c r="C16" s="54"/>
      <c r="D16" s="1"/>
      <c r="E16" s="1"/>
      <c r="F16" s="23"/>
      <c r="G16" s="1"/>
      <c r="H16" s="190"/>
      <c r="I16" s="1"/>
    </row>
    <row r="17" spans="1:9">
      <c r="A17" s="1"/>
      <c r="B17" s="1"/>
      <c r="C17" s="54"/>
      <c r="D17" s="1"/>
      <c r="E17" s="1"/>
      <c r="F17" s="1"/>
      <c r="G17" s="1"/>
      <c r="H17" s="190"/>
      <c r="I17" s="1"/>
    </row>
    <row r="18" spans="1:9">
      <c r="A18" s="1"/>
      <c r="B18" s="1"/>
      <c r="C18" s="54"/>
      <c r="D18" s="1"/>
      <c r="E18" s="1"/>
      <c r="F18" s="1"/>
      <c r="G18" s="1"/>
      <c r="H18" s="190"/>
      <c r="I18" s="1"/>
    </row>
  </sheetData>
  <phoneticPr fontId="19" type="noConversion"/>
  <printOptions gridLines="1"/>
  <pageMargins left="0.75" right="0.75" top="1" bottom="1" header="0.5" footer="0.5"/>
  <pageSetup scale="68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A2" sqref="A2"/>
    </sheetView>
  </sheetViews>
  <sheetFormatPr defaultColWidth="8.88671875" defaultRowHeight="13.2"/>
  <cols>
    <col min="1" max="1" width="50.8867187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1" t="s">
        <v>195</v>
      </c>
      <c r="B1" s="28"/>
      <c r="C1" s="28"/>
      <c r="D1" s="28"/>
      <c r="E1" s="28" t="s">
        <v>48</v>
      </c>
      <c r="F1" s="29">
        <f>MAX(E4:E9)</f>
        <v>784</v>
      </c>
      <c r="G1" s="28" t="s">
        <v>49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>
      <c r="A2" s="154" t="s">
        <v>103</v>
      </c>
      <c r="B2" s="28"/>
      <c r="C2" s="28"/>
      <c r="D2" s="28"/>
      <c r="E2" s="28" t="s">
        <v>47</v>
      </c>
      <c r="F2" s="29">
        <f>MIN(E4:E108)</f>
        <v>694</v>
      </c>
      <c r="G2" s="28" t="s">
        <v>49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>
      <c r="B3" s="111" t="s">
        <v>44</v>
      </c>
      <c r="C3" s="111" t="s">
        <v>45</v>
      </c>
      <c r="D3" s="111" t="s">
        <v>46</v>
      </c>
      <c r="E3" s="40" t="s">
        <v>20</v>
      </c>
      <c r="G3" s="35"/>
      <c r="H3" s="2" t="s">
        <v>23</v>
      </c>
    </row>
    <row r="4" spans="1:21" ht="18">
      <c r="A4" s="346" t="s">
        <v>153</v>
      </c>
      <c r="B4" s="397"/>
      <c r="C4" s="406"/>
      <c r="D4" s="406"/>
      <c r="E4" s="407"/>
      <c r="F4" s="118"/>
      <c r="G4" s="16"/>
      <c r="H4" s="16" t="e">
        <f>RANK($E4,$E$4:$E$9)</f>
        <v>#N/A</v>
      </c>
    </row>
    <row r="5" spans="1:21" ht="18">
      <c r="A5" s="346" t="s">
        <v>154</v>
      </c>
      <c r="B5" s="408">
        <v>179</v>
      </c>
      <c r="C5" s="409">
        <v>203</v>
      </c>
      <c r="D5" s="409">
        <v>312</v>
      </c>
      <c r="E5" s="407">
        <f t="shared" ref="E5:E7" si="0">+B5+C5+D5</f>
        <v>694</v>
      </c>
      <c r="F5" s="118"/>
      <c r="G5" s="16"/>
      <c r="H5" s="16">
        <f t="shared" ref="H5:H9" si="1">RANK($E5,$E$4:$E$9)</f>
        <v>3</v>
      </c>
    </row>
    <row r="6" spans="1:21" ht="18">
      <c r="A6" s="346" t="s">
        <v>155</v>
      </c>
      <c r="B6" s="408">
        <v>199</v>
      </c>
      <c r="C6" s="409">
        <v>184</v>
      </c>
      <c r="D6" s="409">
        <v>401</v>
      </c>
      <c r="E6" s="407">
        <f t="shared" si="0"/>
        <v>784</v>
      </c>
      <c r="F6" s="118"/>
      <c r="G6" s="16"/>
      <c r="H6" s="16">
        <f t="shared" si="1"/>
        <v>1</v>
      </c>
    </row>
    <row r="7" spans="1:21" ht="18">
      <c r="A7" s="346" t="s">
        <v>156</v>
      </c>
      <c r="B7" s="408">
        <v>220</v>
      </c>
      <c r="C7" s="409">
        <v>201</v>
      </c>
      <c r="D7" s="409">
        <v>303</v>
      </c>
      <c r="E7" s="407">
        <f t="shared" si="0"/>
        <v>724</v>
      </c>
      <c r="F7" s="118"/>
      <c r="G7" s="16"/>
      <c r="H7" s="16">
        <f t="shared" si="1"/>
        <v>2</v>
      </c>
    </row>
    <row r="8" spans="1:21" ht="18">
      <c r="A8" s="346" t="s">
        <v>157</v>
      </c>
      <c r="B8" s="408"/>
      <c r="C8" s="409"/>
      <c r="D8" s="409"/>
      <c r="E8" s="407"/>
      <c r="F8" s="118"/>
      <c r="G8" s="16"/>
      <c r="H8" s="16" t="e">
        <f t="shared" si="1"/>
        <v>#N/A</v>
      </c>
    </row>
    <row r="9" spans="1:21" ht="18">
      <c r="A9" s="346" t="s">
        <v>158</v>
      </c>
      <c r="B9" s="408"/>
      <c r="C9" s="409"/>
      <c r="D9" s="409"/>
      <c r="E9" s="407"/>
      <c r="F9" s="118"/>
      <c r="G9" s="16"/>
      <c r="H9" s="16" t="e">
        <f t="shared" si="1"/>
        <v>#N/A</v>
      </c>
      <c r="I9" s="303"/>
    </row>
    <row r="10" spans="1:21">
      <c r="E10" s="55"/>
    </row>
    <row r="11" spans="1:21">
      <c r="E11" s="55"/>
    </row>
    <row r="12" spans="1:21">
      <c r="E12" s="55"/>
    </row>
    <row r="13" spans="1:21">
      <c r="E13" s="55"/>
    </row>
    <row r="14" spans="1:21">
      <c r="E14" s="55"/>
    </row>
    <row r="15" spans="1:21">
      <c r="E15" s="55"/>
    </row>
    <row r="16" spans="1:21">
      <c r="E16" s="55"/>
    </row>
  </sheetData>
  <phoneticPr fontId="19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72"/>
  <sheetViews>
    <sheetView zoomScaleNormal="100" zoomScalePageLayoutView="85" workbookViewId="0">
      <pane ySplit="2" topLeftCell="A54" activePane="bottomLeft" state="frozen"/>
      <selection pane="bottomLeft" activeCell="B3" sqref="B3:B22"/>
    </sheetView>
  </sheetViews>
  <sheetFormatPr defaultColWidth="9.109375" defaultRowHeight="13.2"/>
  <cols>
    <col min="1" max="1" width="14.5546875" style="125" customWidth="1"/>
    <col min="2" max="2" width="21" style="58" customWidth="1"/>
    <col min="3" max="4" width="15.6640625" style="125" customWidth="1"/>
    <col min="5" max="6" width="15.6640625" style="138" customWidth="1"/>
    <col min="7" max="8" width="15.6640625" style="58" customWidth="1"/>
    <col min="9" max="16384" width="9.109375" style="58"/>
  </cols>
  <sheetData>
    <row r="1" spans="1:9" s="337" customFormat="1" ht="17.399999999999999">
      <c r="A1" s="246" t="s">
        <v>159</v>
      </c>
      <c r="B1" s="176"/>
      <c r="C1" s="232"/>
      <c r="D1" s="232"/>
      <c r="E1" s="176"/>
      <c r="F1" s="176"/>
      <c r="G1" s="176"/>
      <c r="H1" s="176"/>
      <c r="I1" s="176"/>
    </row>
    <row r="2" spans="1:9" ht="72">
      <c r="A2" s="339" t="s">
        <v>151</v>
      </c>
      <c r="B2" s="339" t="s">
        <v>160</v>
      </c>
      <c r="C2" s="349" t="s">
        <v>161</v>
      </c>
      <c r="D2" s="349" t="s">
        <v>162</v>
      </c>
      <c r="E2" s="349" t="s">
        <v>163</v>
      </c>
      <c r="F2" s="349" t="s">
        <v>164</v>
      </c>
      <c r="G2" s="349" t="s">
        <v>165</v>
      </c>
      <c r="H2" s="349" t="s">
        <v>166</v>
      </c>
      <c r="I2" s="355" t="s">
        <v>143</v>
      </c>
    </row>
    <row r="3" spans="1:9" s="254" customFormat="1" ht="15">
      <c r="A3" s="350">
        <v>1</v>
      </c>
      <c r="B3" s="351"/>
      <c r="C3" s="316"/>
      <c r="D3" s="316"/>
      <c r="E3" s="316"/>
      <c r="F3" s="316"/>
      <c r="G3" s="316">
        <v>42</v>
      </c>
      <c r="H3" s="316">
        <v>76</v>
      </c>
      <c r="I3" s="336">
        <f>COUNTA(C3:H3)</f>
        <v>2</v>
      </c>
    </row>
    <row r="4" spans="1:9" ht="15">
      <c r="A4" s="350">
        <f>A3+1</f>
        <v>2</v>
      </c>
      <c r="B4" s="256"/>
      <c r="C4" s="293">
        <v>65</v>
      </c>
      <c r="D4" s="293">
        <v>70</v>
      </c>
      <c r="E4" s="293">
        <v>72</v>
      </c>
      <c r="F4" s="293">
        <v>45</v>
      </c>
      <c r="G4" s="293">
        <v>61</v>
      </c>
      <c r="H4" s="293">
        <v>32</v>
      </c>
      <c r="I4" s="336">
        <f t="shared" ref="I4:I65" si="0">COUNTA(C4:H4)</f>
        <v>6</v>
      </c>
    </row>
    <row r="5" spans="1:9" ht="15">
      <c r="A5" s="350">
        <f t="shared" ref="A5:A62" si="1">A4+1</f>
        <v>3</v>
      </c>
      <c r="B5" s="256"/>
      <c r="C5" s="293">
        <f>5+20+11+12+8+10+8+5</f>
        <v>79</v>
      </c>
      <c r="D5" s="293"/>
      <c r="E5" s="293">
        <f>7+25+11+12+5+10+7+5</f>
        <v>82</v>
      </c>
      <c r="F5" s="293"/>
      <c r="G5" s="293">
        <f>7+22+11+11+6+9+8+5</f>
        <v>79</v>
      </c>
      <c r="H5" s="293">
        <f>10+24+12+10+7+10+8+4</f>
        <v>85</v>
      </c>
      <c r="I5" s="336">
        <f t="shared" si="0"/>
        <v>4</v>
      </c>
    </row>
    <row r="6" spans="1:9" ht="15">
      <c r="A6" s="350">
        <f t="shared" si="1"/>
        <v>4</v>
      </c>
      <c r="B6" s="256"/>
      <c r="C6" s="293"/>
      <c r="D6" s="293">
        <v>78</v>
      </c>
      <c r="E6" s="293">
        <v>74</v>
      </c>
      <c r="F6" s="293">
        <v>78</v>
      </c>
      <c r="G6" s="293">
        <v>56</v>
      </c>
      <c r="H6" s="293"/>
      <c r="I6" s="336">
        <f t="shared" si="0"/>
        <v>4</v>
      </c>
    </row>
    <row r="7" spans="1:9" ht="15">
      <c r="A7" s="350">
        <f t="shared" si="1"/>
        <v>5</v>
      </c>
      <c r="B7" s="256"/>
      <c r="C7" s="380"/>
      <c r="D7" s="380"/>
      <c r="E7" s="380"/>
      <c r="F7" s="380"/>
      <c r="G7" s="380"/>
      <c r="H7" s="293">
        <v>54</v>
      </c>
      <c r="I7" s="336">
        <f t="shared" si="0"/>
        <v>1</v>
      </c>
    </row>
    <row r="8" spans="1:9" s="127" customFormat="1" ht="15">
      <c r="A8" s="350">
        <f t="shared" si="1"/>
        <v>6</v>
      </c>
      <c r="B8" s="256"/>
      <c r="C8" s="293"/>
      <c r="D8" s="380"/>
      <c r="E8" s="293"/>
      <c r="F8" s="380"/>
      <c r="G8" s="293">
        <v>71</v>
      </c>
      <c r="H8" s="293">
        <v>71</v>
      </c>
      <c r="I8" s="336">
        <f t="shared" si="0"/>
        <v>2</v>
      </c>
    </row>
    <row r="9" spans="1:9" ht="15">
      <c r="A9" s="350">
        <f t="shared" si="1"/>
        <v>7</v>
      </c>
      <c r="B9" s="348"/>
      <c r="C9" s="293">
        <v>80</v>
      </c>
      <c r="D9" s="293">
        <v>83</v>
      </c>
      <c r="E9" s="293">
        <v>76</v>
      </c>
      <c r="F9" s="293"/>
      <c r="G9" s="293"/>
      <c r="H9" s="293"/>
      <c r="I9" s="336">
        <f t="shared" si="0"/>
        <v>3</v>
      </c>
    </row>
    <row r="10" spans="1:9" ht="15">
      <c r="A10" s="350">
        <f t="shared" si="1"/>
        <v>8</v>
      </c>
      <c r="B10" s="256"/>
      <c r="C10" s="293">
        <v>79</v>
      </c>
      <c r="D10" s="293"/>
      <c r="E10" s="293">
        <v>82</v>
      </c>
      <c r="F10" s="293"/>
      <c r="G10" s="293">
        <v>79</v>
      </c>
      <c r="H10" s="293">
        <v>85</v>
      </c>
      <c r="I10" s="336">
        <f t="shared" si="0"/>
        <v>4</v>
      </c>
    </row>
    <row r="11" spans="1:9" ht="15">
      <c r="A11" s="350">
        <f t="shared" si="1"/>
        <v>9</v>
      </c>
      <c r="B11" s="256"/>
      <c r="C11" s="293">
        <v>70</v>
      </c>
      <c r="D11" s="293">
        <v>56</v>
      </c>
      <c r="E11" s="293">
        <v>70</v>
      </c>
      <c r="F11" s="293">
        <v>78</v>
      </c>
      <c r="G11" s="293">
        <v>65</v>
      </c>
      <c r="H11" s="293">
        <v>73</v>
      </c>
      <c r="I11" s="336">
        <f t="shared" si="0"/>
        <v>6</v>
      </c>
    </row>
    <row r="12" spans="1:9" ht="15">
      <c r="A12" s="350">
        <f t="shared" si="1"/>
        <v>10</v>
      </c>
      <c r="B12" s="256"/>
      <c r="C12" s="293">
        <v>58</v>
      </c>
      <c r="D12" s="293">
        <v>75</v>
      </c>
      <c r="E12" s="293">
        <v>60</v>
      </c>
      <c r="F12" s="293">
        <v>80</v>
      </c>
      <c r="G12" s="293">
        <v>37</v>
      </c>
      <c r="H12" s="293">
        <v>63</v>
      </c>
      <c r="I12" s="336">
        <f t="shared" si="0"/>
        <v>6</v>
      </c>
    </row>
    <row r="13" spans="1:9" ht="15">
      <c r="A13" s="350">
        <f t="shared" si="1"/>
        <v>11</v>
      </c>
      <c r="B13" s="256"/>
      <c r="C13" s="293">
        <v>70</v>
      </c>
      <c r="D13" s="293">
        <v>90</v>
      </c>
      <c r="E13" s="293">
        <v>77</v>
      </c>
      <c r="F13" s="293">
        <v>80</v>
      </c>
      <c r="G13" s="293"/>
      <c r="H13" s="293">
        <v>75</v>
      </c>
      <c r="I13" s="336">
        <f t="shared" si="0"/>
        <v>5</v>
      </c>
    </row>
    <row r="14" spans="1:9" ht="15">
      <c r="A14" s="350">
        <f t="shared" si="1"/>
        <v>12</v>
      </c>
      <c r="B14" s="256"/>
      <c r="C14" s="293"/>
      <c r="D14" s="293">
        <v>77</v>
      </c>
      <c r="E14" s="293">
        <v>67</v>
      </c>
      <c r="F14" s="293">
        <v>76</v>
      </c>
      <c r="G14" s="293">
        <v>66</v>
      </c>
      <c r="H14" s="293"/>
      <c r="I14" s="336">
        <f t="shared" si="0"/>
        <v>4</v>
      </c>
    </row>
    <row r="15" spans="1:9" ht="15">
      <c r="A15" s="350">
        <f t="shared" si="1"/>
        <v>13</v>
      </c>
      <c r="B15" s="256"/>
      <c r="C15" s="293">
        <v>73</v>
      </c>
      <c r="D15" s="293">
        <v>67</v>
      </c>
      <c r="E15" s="293">
        <v>78</v>
      </c>
      <c r="F15" s="293"/>
      <c r="G15" s="293"/>
      <c r="H15" s="293"/>
      <c r="I15" s="336">
        <f t="shared" si="0"/>
        <v>3</v>
      </c>
    </row>
    <row r="16" spans="1:9" ht="15">
      <c r="A16" s="350">
        <f t="shared" si="1"/>
        <v>14</v>
      </c>
      <c r="B16" s="256"/>
      <c r="C16" s="293">
        <v>71</v>
      </c>
      <c r="D16" s="293">
        <v>64</v>
      </c>
      <c r="E16" s="293">
        <v>67</v>
      </c>
      <c r="F16" s="293">
        <v>72</v>
      </c>
      <c r="G16" s="293"/>
      <c r="H16" s="293"/>
      <c r="I16" s="336">
        <f t="shared" si="0"/>
        <v>4</v>
      </c>
    </row>
    <row r="17" spans="1:9" ht="15">
      <c r="A17" s="350">
        <f t="shared" si="1"/>
        <v>15</v>
      </c>
      <c r="B17" s="257"/>
      <c r="C17" s="293"/>
      <c r="D17" s="293">
        <v>81</v>
      </c>
      <c r="E17" s="293">
        <v>53</v>
      </c>
      <c r="F17" s="293">
        <v>85</v>
      </c>
      <c r="G17" s="293">
        <v>67</v>
      </c>
      <c r="H17" s="293"/>
      <c r="I17" s="336">
        <f t="shared" si="0"/>
        <v>4</v>
      </c>
    </row>
    <row r="18" spans="1:9" ht="15">
      <c r="A18" s="350">
        <f t="shared" si="1"/>
        <v>16</v>
      </c>
      <c r="B18" s="257"/>
      <c r="C18" s="293">
        <v>75</v>
      </c>
      <c r="D18" s="293">
        <v>94</v>
      </c>
      <c r="E18" s="293">
        <v>76</v>
      </c>
      <c r="F18" s="293">
        <v>85</v>
      </c>
      <c r="G18" s="293">
        <v>73</v>
      </c>
      <c r="H18" s="293">
        <v>86</v>
      </c>
      <c r="I18" s="336">
        <f t="shared" si="0"/>
        <v>6</v>
      </c>
    </row>
    <row r="19" spans="1:9" ht="15">
      <c r="A19" s="350">
        <f t="shared" si="1"/>
        <v>17</v>
      </c>
      <c r="B19" s="256"/>
      <c r="C19" s="293"/>
      <c r="D19" s="293">
        <v>38</v>
      </c>
      <c r="E19" s="293"/>
      <c r="F19" s="293"/>
      <c r="G19" s="293"/>
      <c r="H19" s="293"/>
      <c r="I19" s="336">
        <f t="shared" si="0"/>
        <v>1</v>
      </c>
    </row>
    <row r="20" spans="1:9" ht="15">
      <c r="A20" s="350">
        <f t="shared" si="1"/>
        <v>18</v>
      </c>
      <c r="B20" s="256"/>
      <c r="C20" s="293">
        <v>67</v>
      </c>
      <c r="D20" s="293"/>
      <c r="E20" s="293"/>
      <c r="F20" s="293"/>
      <c r="G20" s="293"/>
      <c r="H20" s="293"/>
      <c r="I20" s="336">
        <f t="shared" si="0"/>
        <v>1</v>
      </c>
    </row>
    <row r="21" spans="1:9" ht="15">
      <c r="A21" s="350">
        <f t="shared" si="1"/>
        <v>19</v>
      </c>
      <c r="B21" s="405"/>
      <c r="C21" s="293">
        <v>52</v>
      </c>
      <c r="D21" s="293">
        <v>73</v>
      </c>
      <c r="E21" s="293">
        <v>55</v>
      </c>
      <c r="F21" s="293">
        <v>64</v>
      </c>
      <c r="G21" s="293">
        <v>55</v>
      </c>
      <c r="H21" s="293">
        <v>55</v>
      </c>
      <c r="I21" s="336">
        <f t="shared" si="0"/>
        <v>6</v>
      </c>
    </row>
    <row r="22" spans="1:9" ht="15">
      <c r="A22" s="350">
        <f t="shared" si="1"/>
        <v>20</v>
      </c>
      <c r="B22" s="256"/>
      <c r="C22" s="293"/>
      <c r="D22" s="293"/>
      <c r="E22" s="293"/>
      <c r="F22" s="293"/>
      <c r="G22" s="293"/>
      <c r="H22" s="293"/>
      <c r="I22" s="336">
        <f t="shared" si="0"/>
        <v>0</v>
      </c>
    </row>
    <row r="23" spans="1:9" ht="15">
      <c r="A23" s="350">
        <f t="shared" si="1"/>
        <v>21</v>
      </c>
      <c r="B23" s="257"/>
      <c r="C23" s="293"/>
      <c r="D23" s="293"/>
      <c r="E23" s="293"/>
      <c r="F23" s="293"/>
      <c r="G23" s="293"/>
      <c r="H23" s="293"/>
      <c r="I23" s="336">
        <f t="shared" si="0"/>
        <v>0</v>
      </c>
    </row>
    <row r="24" spans="1:9" ht="15">
      <c r="A24" s="350">
        <f t="shared" si="1"/>
        <v>22</v>
      </c>
      <c r="B24" s="256"/>
      <c r="C24" s="293"/>
      <c r="D24" s="293"/>
      <c r="E24" s="293"/>
      <c r="F24" s="293"/>
      <c r="G24" s="293"/>
      <c r="H24" s="293"/>
      <c r="I24" s="336">
        <f t="shared" si="0"/>
        <v>0</v>
      </c>
    </row>
    <row r="25" spans="1:9" ht="15">
      <c r="A25" s="350">
        <f t="shared" si="1"/>
        <v>23</v>
      </c>
      <c r="B25" s="256"/>
      <c r="C25" s="293"/>
      <c r="D25" s="293"/>
      <c r="E25" s="293"/>
      <c r="F25" s="293"/>
      <c r="G25" s="293"/>
      <c r="H25" s="293"/>
      <c r="I25" s="336">
        <f t="shared" si="0"/>
        <v>0</v>
      </c>
    </row>
    <row r="26" spans="1:9" ht="15">
      <c r="A26" s="350">
        <f t="shared" si="1"/>
        <v>24</v>
      </c>
      <c r="B26" s="257"/>
      <c r="C26" s="293"/>
      <c r="D26" s="293"/>
      <c r="E26" s="293"/>
      <c r="F26" s="293"/>
      <c r="G26" s="293"/>
      <c r="H26" s="293"/>
      <c r="I26" s="336">
        <f t="shared" si="0"/>
        <v>0</v>
      </c>
    </row>
    <row r="27" spans="1:9" ht="15">
      <c r="A27" s="350">
        <f t="shared" si="1"/>
        <v>25</v>
      </c>
      <c r="B27" s="257"/>
      <c r="C27" s="293"/>
      <c r="D27" s="293"/>
      <c r="E27" s="293"/>
      <c r="F27" s="293"/>
      <c r="G27" s="293"/>
      <c r="H27" s="293"/>
      <c r="I27" s="336">
        <f t="shared" si="0"/>
        <v>0</v>
      </c>
    </row>
    <row r="28" spans="1:9" ht="15">
      <c r="A28" s="350">
        <f t="shared" si="1"/>
        <v>26</v>
      </c>
      <c r="B28" s="256"/>
      <c r="C28" s="293"/>
      <c r="D28" s="293"/>
      <c r="E28" s="293"/>
      <c r="F28" s="293"/>
      <c r="G28" s="293"/>
      <c r="H28" s="293"/>
      <c r="I28" s="336">
        <f t="shared" si="0"/>
        <v>0</v>
      </c>
    </row>
    <row r="29" spans="1:9" ht="15">
      <c r="A29" s="350">
        <f t="shared" si="1"/>
        <v>27</v>
      </c>
      <c r="B29" s="256"/>
      <c r="C29" s="293"/>
      <c r="D29" s="293"/>
      <c r="E29" s="293"/>
      <c r="F29" s="293"/>
      <c r="G29" s="293"/>
      <c r="H29" s="293"/>
      <c r="I29" s="336">
        <f t="shared" si="0"/>
        <v>0</v>
      </c>
    </row>
    <row r="30" spans="1:9" ht="15">
      <c r="A30" s="350">
        <f t="shared" si="1"/>
        <v>28</v>
      </c>
      <c r="B30" s="256"/>
      <c r="C30" s="293"/>
      <c r="D30" s="293"/>
      <c r="E30" s="293"/>
      <c r="F30" s="293"/>
      <c r="G30" s="293"/>
      <c r="H30" s="293"/>
      <c r="I30" s="336">
        <f t="shared" si="0"/>
        <v>0</v>
      </c>
    </row>
    <row r="31" spans="1:9" ht="15">
      <c r="A31" s="350">
        <f t="shared" si="1"/>
        <v>29</v>
      </c>
      <c r="B31" s="256"/>
      <c r="C31" s="293"/>
      <c r="D31" s="293"/>
      <c r="E31" s="293"/>
      <c r="F31" s="293"/>
      <c r="G31" s="293"/>
      <c r="H31" s="293"/>
      <c r="I31" s="336">
        <f t="shared" si="0"/>
        <v>0</v>
      </c>
    </row>
    <row r="32" spans="1:9" ht="15">
      <c r="A32" s="350">
        <f t="shared" si="1"/>
        <v>30</v>
      </c>
      <c r="B32" s="256"/>
      <c r="C32" s="293"/>
      <c r="D32" s="293"/>
      <c r="E32" s="293"/>
      <c r="F32" s="293"/>
      <c r="G32" s="293"/>
      <c r="H32" s="293"/>
      <c r="I32" s="336">
        <f t="shared" si="0"/>
        <v>0</v>
      </c>
    </row>
    <row r="33" spans="1:9" ht="15">
      <c r="A33" s="350">
        <f t="shared" si="1"/>
        <v>31</v>
      </c>
      <c r="B33" s="257"/>
      <c r="C33" s="293"/>
      <c r="D33" s="293"/>
      <c r="E33" s="293"/>
      <c r="F33" s="293"/>
      <c r="G33" s="293"/>
      <c r="H33" s="293"/>
      <c r="I33" s="336">
        <f t="shared" si="0"/>
        <v>0</v>
      </c>
    </row>
    <row r="34" spans="1:9" ht="15">
      <c r="A34" s="350">
        <f t="shared" si="1"/>
        <v>32</v>
      </c>
      <c r="B34" s="256"/>
      <c r="C34" s="293"/>
      <c r="D34" s="293"/>
      <c r="E34" s="293"/>
      <c r="F34" s="293"/>
      <c r="G34" s="293"/>
      <c r="H34" s="293"/>
      <c r="I34" s="336">
        <f t="shared" si="0"/>
        <v>0</v>
      </c>
    </row>
    <row r="35" spans="1:9" ht="15">
      <c r="A35" s="350">
        <f t="shared" si="1"/>
        <v>33</v>
      </c>
      <c r="B35" s="257"/>
      <c r="C35" s="293"/>
      <c r="D35" s="293"/>
      <c r="E35" s="293"/>
      <c r="F35" s="293"/>
      <c r="G35" s="293"/>
      <c r="H35" s="293"/>
      <c r="I35" s="336">
        <f t="shared" si="0"/>
        <v>0</v>
      </c>
    </row>
    <row r="36" spans="1:9" ht="15">
      <c r="A36" s="350">
        <f t="shared" si="1"/>
        <v>34</v>
      </c>
      <c r="B36" s="257"/>
      <c r="C36" s="293"/>
      <c r="D36" s="293"/>
      <c r="E36" s="293"/>
      <c r="F36" s="293"/>
      <c r="G36" s="293"/>
      <c r="H36" s="293"/>
      <c r="I36" s="336">
        <f t="shared" si="0"/>
        <v>0</v>
      </c>
    </row>
    <row r="37" spans="1:9" ht="15">
      <c r="A37" s="350">
        <f t="shared" si="1"/>
        <v>35</v>
      </c>
      <c r="B37" s="257"/>
      <c r="C37" s="293"/>
      <c r="D37" s="293"/>
      <c r="E37" s="293"/>
      <c r="F37" s="293"/>
      <c r="G37" s="293"/>
      <c r="H37" s="293"/>
      <c r="I37" s="336">
        <f t="shared" si="0"/>
        <v>0</v>
      </c>
    </row>
    <row r="38" spans="1:9" ht="15">
      <c r="A38" s="350">
        <f t="shared" si="1"/>
        <v>36</v>
      </c>
      <c r="B38" s="257"/>
      <c r="C38" s="293"/>
      <c r="D38" s="293"/>
      <c r="E38" s="293"/>
      <c r="F38" s="293"/>
      <c r="G38" s="293"/>
      <c r="H38" s="293"/>
      <c r="I38" s="336">
        <f t="shared" si="0"/>
        <v>0</v>
      </c>
    </row>
    <row r="39" spans="1:9">
      <c r="A39" s="336">
        <f t="shared" si="1"/>
        <v>37</v>
      </c>
      <c r="B39" s="256"/>
      <c r="C39" s="293"/>
      <c r="D39" s="293"/>
      <c r="E39" s="293"/>
      <c r="F39" s="293"/>
      <c r="G39" s="293"/>
      <c r="H39" s="293"/>
      <c r="I39" s="336">
        <f t="shared" si="0"/>
        <v>0</v>
      </c>
    </row>
    <row r="40" spans="1:9">
      <c r="A40" s="336">
        <f t="shared" si="1"/>
        <v>38</v>
      </c>
      <c r="B40" s="257"/>
      <c r="C40" s="293"/>
      <c r="D40" s="293"/>
      <c r="E40" s="293"/>
      <c r="F40" s="293"/>
      <c r="G40" s="293"/>
      <c r="H40" s="293"/>
      <c r="I40" s="336">
        <f t="shared" si="0"/>
        <v>0</v>
      </c>
    </row>
    <row r="41" spans="1:9" s="254" customFormat="1">
      <c r="A41" s="336">
        <f t="shared" si="1"/>
        <v>39</v>
      </c>
      <c r="B41" s="255"/>
      <c r="C41" s="293"/>
      <c r="D41" s="293"/>
      <c r="E41" s="293"/>
      <c r="F41" s="293"/>
      <c r="G41" s="293"/>
      <c r="H41" s="293"/>
      <c r="I41" s="336">
        <f t="shared" si="0"/>
        <v>0</v>
      </c>
    </row>
    <row r="42" spans="1:9">
      <c r="A42" s="336">
        <f t="shared" si="1"/>
        <v>40</v>
      </c>
      <c r="B42" s="257"/>
      <c r="C42" s="293"/>
      <c r="D42" s="293"/>
      <c r="E42" s="293"/>
      <c r="F42" s="293"/>
      <c r="G42" s="293"/>
      <c r="H42" s="293"/>
      <c r="I42" s="336">
        <f t="shared" si="0"/>
        <v>0</v>
      </c>
    </row>
    <row r="43" spans="1:9">
      <c r="A43" s="336">
        <f t="shared" si="1"/>
        <v>41</v>
      </c>
      <c r="B43" s="256"/>
      <c r="C43" s="293"/>
      <c r="D43" s="293"/>
      <c r="E43" s="293"/>
      <c r="F43" s="293"/>
      <c r="G43" s="293"/>
      <c r="H43" s="293"/>
      <c r="I43" s="336">
        <f t="shared" si="0"/>
        <v>0</v>
      </c>
    </row>
    <row r="44" spans="1:9">
      <c r="A44" s="336">
        <f t="shared" si="1"/>
        <v>42</v>
      </c>
      <c r="B44" s="256"/>
      <c r="C44" s="293"/>
      <c r="D44" s="293"/>
      <c r="E44" s="293"/>
      <c r="F44" s="293"/>
      <c r="G44" s="293"/>
      <c r="H44" s="293"/>
      <c r="I44" s="336">
        <f t="shared" si="0"/>
        <v>0</v>
      </c>
    </row>
    <row r="45" spans="1:9">
      <c r="A45" s="336">
        <f t="shared" si="1"/>
        <v>43</v>
      </c>
      <c r="B45" s="256"/>
      <c r="C45" s="293"/>
      <c r="D45" s="293"/>
      <c r="E45" s="293"/>
      <c r="F45" s="293"/>
      <c r="G45" s="293"/>
      <c r="H45" s="293"/>
      <c r="I45" s="336">
        <f t="shared" si="0"/>
        <v>0</v>
      </c>
    </row>
    <row r="46" spans="1:9">
      <c r="A46" s="336">
        <f t="shared" si="1"/>
        <v>44</v>
      </c>
      <c r="B46" s="256"/>
      <c r="C46" s="293"/>
      <c r="D46" s="293"/>
      <c r="E46" s="293"/>
      <c r="F46" s="293"/>
      <c r="G46" s="293"/>
      <c r="H46" s="293"/>
      <c r="I46" s="336">
        <f t="shared" si="0"/>
        <v>0</v>
      </c>
    </row>
    <row r="47" spans="1:9" s="231" customFormat="1">
      <c r="A47" s="336">
        <f t="shared" si="1"/>
        <v>45</v>
      </c>
      <c r="B47" s="256"/>
      <c r="C47" s="293"/>
      <c r="D47" s="293"/>
      <c r="E47" s="293"/>
      <c r="F47" s="293"/>
      <c r="G47" s="293"/>
      <c r="H47" s="293"/>
      <c r="I47" s="336">
        <f t="shared" si="0"/>
        <v>0</v>
      </c>
    </row>
    <row r="48" spans="1:9">
      <c r="A48" s="336">
        <f t="shared" si="1"/>
        <v>46</v>
      </c>
      <c r="B48" s="256"/>
      <c r="C48" s="293"/>
      <c r="D48" s="293"/>
      <c r="E48" s="293"/>
      <c r="F48" s="293"/>
      <c r="G48" s="293"/>
      <c r="H48" s="293"/>
      <c r="I48" s="336">
        <f t="shared" si="0"/>
        <v>0</v>
      </c>
    </row>
    <row r="49" spans="1:9">
      <c r="A49" s="336">
        <f t="shared" si="1"/>
        <v>47</v>
      </c>
      <c r="B49" s="256"/>
      <c r="C49" s="293"/>
      <c r="D49" s="293"/>
      <c r="E49" s="293"/>
      <c r="F49" s="293"/>
      <c r="G49" s="293"/>
      <c r="H49" s="293"/>
      <c r="I49" s="336">
        <f t="shared" si="0"/>
        <v>0</v>
      </c>
    </row>
    <row r="50" spans="1:9">
      <c r="A50" s="336">
        <f t="shared" si="1"/>
        <v>48</v>
      </c>
      <c r="B50" s="256"/>
      <c r="C50" s="293"/>
      <c r="D50" s="293"/>
      <c r="E50" s="293"/>
      <c r="F50" s="293"/>
      <c r="G50" s="293"/>
      <c r="H50" s="293"/>
      <c r="I50" s="336">
        <f t="shared" si="0"/>
        <v>0</v>
      </c>
    </row>
    <row r="51" spans="1:9">
      <c r="A51" s="336">
        <f t="shared" si="1"/>
        <v>49</v>
      </c>
      <c r="B51" s="256"/>
      <c r="C51" s="293"/>
      <c r="D51" s="293"/>
      <c r="E51" s="293"/>
      <c r="F51" s="293"/>
      <c r="G51" s="293"/>
      <c r="H51" s="293"/>
      <c r="I51" s="336">
        <f t="shared" si="0"/>
        <v>0</v>
      </c>
    </row>
    <row r="52" spans="1:9">
      <c r="A52" s="336">
        <f t="shared" si="1"/>
        <v>50</v>
      </c>
      <c r="B52" s="257"/>
      <c r="C52" s="293"/>
      <c r="D52" s="293"/>
      <c r="E52" s="293"/>
      <c r="F52" s="293"/>
      <c r="G52" s="293"/>
      <c r="H52" s="293"/>
      <c r="I52" s="336">
        <f t="shared" si="0"/>
        <v>0</v>
      </c>
    </row>
    <row r="53" spans="1:9">
      <c r="A53" s="336">
        <f t="shared" si="1"/>
        <v>51</v>
      </c>
      <c r="B53" s="257"/>
      <c r="C53" s="293"/>
      <c r="D53" s="293"/>
      <c r="E53" s="293"/>
      <c r="F53" s="293"/>
      <c r="G53" s="293"/>
      <c r="H53" s="293"/>
      <c r="I53" s="336">
        <f t="shared" si="0"/>
        <v>0</v>
      </c>
    </row>
    <row r="54" spans="1:9">
      <c r="A54" s="336">
        <f t="shared" si="1"/>
        <v>52</v>
      </c>
      <c r="B54" s="256"/>
      <c r="C54" s="293"/>
      <c r="D54" s="293"/>
      <c r="E54" s="293"/>
      <c r="F54" s="293"/>
      <c r="G54" s="293"/>
      <c r="H54" s="293"/>
      <c r="I54" s="336">
        <f t="shared" si="0"/>
        <v>0</v>
      </c>
    </row>
    <row r="55" spans="1:9">
      <c r="A55" s="336">
        <f t="shared" si="1"/>
        <v>53</v>
      </c>
      <c r="B55" s="257"/>
      <c r="C55" s="293"/>
      <c r="D55" s="293"/>
      <c r="E55" s="293"/>
      <c r="F55" s="293"/>
      <c r="G55" s="293"/>
      <c r="H55" s="293"/>
      <c r="I55" s="336">
        <f t="shared" si="0"/>
        <v>0</v>
      </c>
    </row>
    <row r="56" spans="1:9">
      <c r="A56" s="336">
        <f t="shared" si="1"/>
        <v>54</v>
      </c>
      <c r="B56" s="256"/>
      <c r="C56" s="293"/>
      <c r="D56" s="293"/>
      <c r="E56" s="293"/>
      <c r="F56" s="293"/>
      <c r="G56" s="293"/>
      <c r="H56" s="293"/>
      <c r="I56" s="336">
        <f t="shared" si="0"/>
        <v>0</v>
      </c>
    </row>
    <row r="57" spans="1:9">
      <c r="A57" s="336">
        <f t="shared" si="1"/>
        <v>55</v>
      </c>
      <c r="B57" s="256"/>
      <c r="C57" s="293"/>
      <c r="D57" s="293"/>
      <c r="E57" s="293"/>
      <c r="F57" s="293"/>
      <c r="G57" s="293"/>
      <c r="H57" s="293"/>
      <c r="I57" s="336">
        <f t="shared" si="0"/>
        <v>0</v>
      </c>
    </row>
    <row r="58" spans="1:9">
      <c r="A58" s="336">
        <f t="shared" si="1"/>
        <v>56</v>
      </c>
      <c r="B58" s="257"/>
      <c r="C58" s="293"/>
      <c r="D58" s="293"/>
      <c r="E58" s="293"/>
      <c r="F58" s="293"/>
      <c r="G58" s="293"/>
      <c r="H58" s="293"/>
      <c r="I58" s="336">
        <f t="shared" si="0"/>
        <v>0</v>
      </c>
    </row>
    <row r="59" spans="1:9">
      <c r="A59" s="336">
        <f t="shared" si="1"/>
        <v>57</v>
      </c>
      <c r="B59" s="257"/>
      <c r="C59" s="293"/>
      <c r="D59" s="293"/>
      <c r="E59" s="293"/>
      <c r="F59" s="293"/>
      <c r="G59" s="293"/>
      <c r="H59" s="293"/>
      <c r="I59" s="336">
        <f t="shared" si="0"/>
        <v>0</v>
      </c>
    </row>
    <row r="60" spans="1:9">
      <c r="A60" s="336">
        <f t="shared" si="1"/>
        <v>58</v>
      </c>
      <c r="B60" s="257"/>
      <c r="C60" s="293"/>
      <c r="D60" s="293"/>
      <c r="E60" s="293"/>
      <c r="F60" s="293"/>
      <c r="G60" s="293"/>
      <c r="H60" s="293"/>
      <c r="I60" s="336">
        <f t="shared" si="0"/>
        <v>0</v>
      </c>
    </row>
    <row r="61" spans="1:9">
      <c r="A61" s="336">
        <f t="shared" si="1"/>
        <v>59</v>
      </c>
      <c r="B61" s="257"/>
      <c r="C61" s="293"/>
      <c r="D61" s="293"/>
      <c r="E61" s="293"/>
      <c r="F61" s="293"/>
      <c r="G61" s="293"/>
      <c r="H61" s="293"/>
      <c r="I61" s="336">
        <f t="shared" si="0"/>
        <v>0</v>
      </c>
    </row>
    <row r="62" spans="1:9">
      <c r="A62" s="336">
        <f t="shared" si="1"/>
        <v>60</v>
      </c>
      <c r="B62" s="257"/>
      <c r="C62" s="352"/>
      <c r="D62" s="352"/>
      <c r="E62" s="352"/>
      <c r="F62" s="352"/>
      <c r="G62" s="352"/>
      <c r="H62" s="352"/>
      <c r="I62" s="336">
        <f t="shared" si="0"/>
        <v>0</v>
      </c>
    </row>
    <row r="63" spans="1:9">
      <c r="A63" s="293">
        <v>61</v>
      </c>
      <c r="B63" s="257"/>
      <c r="C63" s="353"/>
      <c r="D63" s="353"/>
      <c r="E63" s="353"/>
      <c r="F63" s="353"/>
      <c r="G63" s="353"/>
      <c r="H63" s="353"/>
      <c r="I63" s="336">
        <f t="shared" si="0"/>
        <v>0</v>
      </c>
    </row>
    <row r="64" spans="1:9">
      <c r="A64" s="293"/>
      <c r="B64" s="257"/>
      <c r="C64" s="352"/>
      <c r="D64" s="353"/>
      <c r="E64" s="352"/>
      <c r="F64" s="353"/>
      <c r="G64" s="352"/>
      <c r="H64" s="353"/>
      <c r="I64" s="336">
        <f t="shared" si="0"/>
        <v>0</v>
      </c>
    </row>
    <row r="65" spans="1:9">
      <c r="A65" s="293"/>
      <c r="B65" s="257"/>
      <c r="C65" s="353"/>
      <c r="D65" s="352"/>
      <c r="E65" s="353"/>
      <c r="F65" s="352"/>
      <c r="G65" s="353"/>
      <c r="H65" s="352"/>
      <c r="I65" s="336">
        <f t="shared" si="0"/>
        <v>0</v>
      </c>
    </row>
    <row r="66" spans="1:9">
      <c r="A66" s="232"/>
      <c r="B66" s="231"/>
      <c r="C66" s="232"/>
      <c r="D66" s="232"/>
      <c r="E66" s="232"/>
      <c r="F66" s="232"/>
      <c r="G66" s="232"/>
      <c r="H66" s="232"/>
      <c r="I66" s="231"/>
    </row>
    <row r="67" spans="1:9">
      <c r="A67" s="232" t="s">
        <v>58</v>
      </c>
      <c r="B67" s="231"/>
      <c r="C67" s="181">
        <f t="shared" ref="C67:H67" si="2">AVERAGE(C3:C66)</f>
        <v>69.916666666666671</v>
      </c>
      <c r="D67" s="181">
        <f t="shared" si="2"/>
        <v>72.769230769230774</v>
      </c>
      <c r="E67" s="181">
        <f t="shared" si="2"/>
        <v>70.642857142857139</v>
      </c>
      <c r="F67" s="181">
        <f t="shared" si="2"/>
        <v>74.3</v>
      </c>
      <c r="G67" s="181">
        <f t="shared" si="2"/>
        <v>62.583333333333336</v>
      </c>
      <c r="H67" s="181">
        <f t="shared" si="2"/>
        <v>68.63636363636364</v>
      </c>
      <c r="I67" s="231"/>
    </row>
    <row r="68" spans="1:9">
      <c r="A68" s="232" t="s">
        <v>42</v>
      </c>
      <c r="B68" s="231"/>
      <c r="C68" s="181">
        <f>IF(C67&lt;5, 5,C67)</f>
        <v>69.916666666666671</v>
      </c>
      <c r="D68" s="181">
        <f t="shared" ref="D68" si="3">IF(D67&lt;5, 5,D67)</f>
        <v>72.769230769230774</v>
      </c>
      <c r="E68" s="181">
        <f>IF(E67&lt;5, 5,E67)</f>
        <v>70.642857142857139</v>
      </c>
      <c r="F68" s="181">
        <f t="shared" ref="F68" si="4">IF(F67&lt;5, 5,F67)</f>
        <v>74.3</v>
      </c>
      <c r="G68" s="181">
        <f>IF(G67&lt;5, 5,G67)</f>
        <v>62.583333333333336</v>
      </c>
      <c r="H68" s="181">
        <f t="shared" ref="H68" si="5">IF(H67&lt;5, 5,H67)</f>
        <v>68.63636363636364</v>
      </c>
      <c r="I68" s="231"/>
    </row>
    <row r="69" spans="1:9">
      <c r="A69" s="232"/>
      <c r="B69" s="231"/>
      <c r="C69" s="232"/>
      <c r="D69" s="232"/>
      <c r="E69" s="232"/>
      <c r="F69" s="232"/>
      <c r="G69" s="232"/>
      <c r="H69" s="232"/>
      <c r="I69" s="231"/>
    </row>
    <row r="70" spans="1:9">
      <c r="A70" s="232" t="s">
        <v>143</v>
      </c>
      <c r="B70" s="231"/>
      <c r="C70" s="232">
        <f>COUNTA(C3:C65)</f>
        <v>12</v>
      </c>
      <c r="D70" s="232">
        <f t="shared" ref="D70" si="6">COUNTA(D3:D65)</f>
        <v>13</v>
      </c>
      <c r="E70" s="232">
        <f>COUNTA(E3:E65)</f>
        <v>14</v>
      </c>
      <c r="F70" s="232">
        <f t="shared" ref="F70" si="7">COUNTA(F3:F65)</f>
        <v>10</v>
      </c>
      <c r="G70" s="232">
        <f>COUNTA(G3:G65)</f>
        <v>12</v>
      </c>
      <c r="H70" s="232">
        <f t="shared" ref="H70" si="8">COUNTA(H3:H65)</f>
        <v>11</v>
      </c>
      <c r="I70" s="231"/>
    </row>
    <row r="71" spans="1:9">
      <c r="A71" s="232"/>
      <c r="B71" s="232" t="s">
        <v>148</v>
      </c>
      <c r="C71" s="232">
        <f t="shared" ref="C71:H71" si="9">RANK(C68,$C$68:$H$68)</f>
        <v>4</v>
      </c>
      <c r="D71" s="232">
        <f t="shared" si="9"/>
        <v>2</v>
      </c>
      <c r="E71" s="232">
        <f t="shared" si="9"/>
        <v>3</v>
      </c>
      <c r="F71" s="232">
        <f t="shared" si="9"/>
        <v>1</v>
      </c>
      <c r="G71" s="232">
        <f t="shared" si="9"/>
        <v>6</v>
      </c>
      <c r="H71" s="232">
        <f t="shared" si="9"/>
        <v>5</v>
      </c>
      <c r="I71" s="231"/>
    </row>
    <row r="72" spans="1:9">
      <c r="A72" s="232"/>
      <c r="B72" s="231"/>
      <c r="C72" s="232"/>
      <c r="D72" s="232"/>
      <c r="E72" s="354"/>
      <c r="F72" s="354"/>
      <c r="G72" s="231"/>
      <c r="H72" s="231"/>
      <c r="I72" s="231"/>
    </row>
  </sheetData>
  <phoneticPr fontId="19" type="noConversion"/>
  <printOptions gridLines="1"/>
  <pageMargins left="0.75" right="0.75" top="1" bottom="1" header="0.5" footer="0.5"/>
  <pageSetup scale="50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14"/>
  <sheetViews>
    <sheetView zoomScale="75" workbookViewId="0">
      <selection activeCell="A5" sqref="A5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167</v>
      </c>
      <c r="B1" s="6"/>
      <c r="C1" s="6"/>
    </row>
    <row r="2" spans="1:3">
      <c r="A2" s="6"/>
      <c r="B2" s="6"/>
      <c r="C2" s="6"/>
    </row>
    <row r="3" spans="1:3" ht="15">
      <c r="A3" s="356" t="s">
        <v>127</v>
      </c>
      <c r="B3" s="6"/>
      <c r="C3" s="6"/>
    </row>
    <row r="4" spans="1:3">
      <c r="A4" s="23"/>
      <c r="B4" s="22" t="s">
        <v>8</v>
      </c>
      <c r="C4" s="19"/>
    </row>
    <row r="5" spans="1:3" ht="18">
      <c r="A5" s="346" t="s">
        <v>153</v>
      </c>
      <c r="B5" s="413">
        <v>50</v>
      </c>
      <c r="C5" s="396"/>
    </row>
    <row r="6" spans="1:3" ht="18">
      <c r="A6" s="346" t="s">
        <v>154</v>
      </c>
      <c r="B6" s="413">
        <v>50</v>
      </c>
      <c r="C6" s="396"/>
    </row>
    <row r="7" spans="1:3" ht="18">
      <c r="A7" s="346" t="s">
        <v>155</v>
      </c>
      <c r="B7" s="413">
        <v>50</v>
      </c>
      <c r="C7" s="396"/>
    </row>
    <row r="8" spans="1:3" ht="18">
      <c r="A8" s="346" t="s">
        <v>156</v>
      </c>
      <c r="B8" s="413">
        <v>50</v>
      </c>
      <c r="C8" s="396"/>
    </row>
    <row r="9" spans="1:3" ht="18">
      <c r="A9" s="346" t="s">
        <v>157</v>
      </c>
      <c r="B9" s="413">
        <v>50</v>
      </c>
      <c r="C9" s="396"/>
    </row>
    <row r="10" spans="1:3" ht="18">
      <c r="A10" s="346" t="s">
        <v>158</v>
      </c>
      <c r="B10" s="413">
        <v>50</v>
      </c>
      <c r="C10" s="396"/>
    </row>
    <row r="11" spans="1:3">
      <c r="A11" s="21"/>
    </row>
    <row r="12" spans="1:3">
      <c r="A12" s="21"/>
    </row>
    <row r="13" spans="1:3">
      <c r="A13" s="21"/>
    </row>
    <row r="14" spans="1:3">
      <c r="A14" s="21"/>
    </row>
  </sheetData>
  <phoneticPr fontId="19" type="noConversion"/>
  <printOptions gridLines="1"/>
  <pageMargins left="0.75" right="0.75" top="1" bottom="1" header="0.5" footer="0.5"/>
  <pageSetup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7"/>
  <sheetViews>
    <sheetView workbookViewId="0">
      <selection activeCell="L7" sqref="L7"/>
    </sheetView>
  </sheetViews>
  <sheetFormatPr defaultColWidth="8.88671875" defaultRowHeight="13.2"/>
  <cols>
    <col min="1" max="1" width="49.8867187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154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9" ht="17.399999999999999">
      <c r="A1" s="7" t="s">
        <v>168</v>
      </c>
      <c r="B1" s="6"/>
      <c r="C1" s="6"/>
      <c r="D1" s="6"/>
    </row>
    <row r="2" spans="1:19" s="58" customFormat="1">
      <c r="A2" s="177"/>
      <c r="B2" s="177"/>
      <c r="C2" s="177"/>
      <c r="D2" s="177"/>
      <c r="E2" s="154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s="58" customFormat="1">
      <c r="A3" s="177"/>
      <c r="B3" s="357"/>
      <c r="C3" s="358"/>
      <c r="D3" s="177"/>
      <c r="E3" s="154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s="58" customFormat="1">
      <c r="A4" s="177"/>
      <c r="B4" s="357"/>
      <c r="C4" s="358"/>
      <c r="D4" s="177"/>
      <c r="E4" s="154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19" s="58" customFormat="1" ht="17.399999999999999">
      <c r="A5" s="23"/>
      <c r="B5" s="23"/>
      <c r="C5" s="23"/>
      <c r="D5" s="177"/>
      <c r="E5" s="154"/>
      <c r="F5" s="231"/>
      <c r="G5" s="231"/>
      <c r="H5" s="236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</row>
    <row r="6" spans="1:19" ht="52.8">
      <c r="A6" s="113" t="s">
        <v>102</v>
      </c>
      <c r="B6" s="113"/>
      <c r="C6" s="113" t="s">
        <v>57</v>
      </c>
      <c r="D6" s="113"/>
      <c r="E6" s="195" t="s">
        <v>121</v>
      </c>
      <c r="F6" s="195"/>
      <c r="G6" s="195"/>
      <c r="H6" s="195" t="s">
        <v>99</v>
      </c>
      <c r="I6" s="195" t="s">
        <v>100</v>
      </c>
      <c r="J6" s="195" t="s">
        <v>101</v>
      </c>
      <c r="K6" s="195"/>
      <c r="L6" s="195" t="s">
        <v>124</v>
      </c>
      <c r="M6" s="195" t="s">
        <v>23</v>
      </c>
    </row>
    <row r="7" spans="1:19" ht="18">
      <c r="A7" s="346" t="s">
        <v>153</v>
      </c>
      <c r="C7" s="418">
        <v>15133</v>
      </c>
      <c r="D7" s="191"/>
      <c r="E7" s="239">
        <f>-($B$18*C7)+$B$19</f>
        <v>6.7060367454068199</v>
      </c>
      <c r="F7" s="47"/>
      <c r="H7" s="359">
        <v>5</v>
      </c>
      <c r="I7" s="359">
        <v>4</v>
      </c>
      <c r="J7" s="359">
        <v>0</v>
      </c>
      <c r="K7" s="47"/>
      <c r="L7" s="186">
        <f>IF(SUM(E7:J7)&lt;2.5,2.5,SUM(E7:J7))</f>
        <v>15.70603674540682</v>
      </c>
      <c r="M7" s="184">
        <f>RANK(L7,$L$7:$L$12)</f>
        <v>6</v>
      </c>
    </row>
    <row r="8" spans="1:19" ht="18">
      <c r="A8" s="346" t="s">
        <v>154</v>
      </c>
      <c r="C8" s="418">
        <v>14330</v>
      </c>
      <c r="D8" s="192"/>
      <c r="E8" s="239">
        <f>-($B$18*C8)+$B$19</f>
        <v>10.218722659667534</v>
      </c>
      <c r="F8" s="47"/>
      <c r="H8" s="359">
        <v>8</v>
      </c>
      <c r="I8" s="359">
        <v>7</v>
      </c>
      <c r="J8" s="359">
        <v>10</v>
      </c>
      <c r="K8" s="47"/>
      <c r="L8" s="186">
        <f t="shared" ref="L8:L12" si="0">IF(SUM(E8:J8)&lt;2.5,2.5,SUM(E8:J8))</f>
        <v>35.218722659667534</v>
      </c>
      <c r="M8" s="184">
        <f t="shared" ref="M8:M12" si="1">RANK(L8,$L$7:$L$12)</f>
        <v>3</v>
      </c>
    </row>
    <row r="9" spans="1:19" ht="18">
      <c r="A9" s="346" t="s">
        <v>155</v>
      </c>
      <c r="C9" s="418">
        <v>12094</v>
      </c>
      <c r="D9" s="192"/>
      <c r="E9" s="239">
        <f t="shared" ref="E9:E12" si="2">-($B$18*C9)+$B$19</f>
        <v>19.999999999999993</v>
      </c>
      <c r="F9" s="47"/>
      <c r="H9" s="359">
        <v>10</v>
      </c>
      <c r="I9" s="359">
        <v>10</v>
      </c>
      <c r="J9" s="359">
        <v>10</v>
      </c>
      <c r="K9" s="47"/>
      <c r="L9" s="186">
        <f t="shared" si="0"/>
        <v>49.999999999999993</v>
      </c>
      <c r="M9" s="184">
        <f t="shared" si="1"/>
        <v>1</v>
      </c>
    </row>
    <row r="10" spans="1:19" ht="18">
      <c r="A10" s="346" t="s">
        <v>156</v>
      </c>
      <c r="C10" s="418">
        <v>14737</v>
      </c>
      <c r="D10" s="192"/>
      <c r="E10" s="239">
        <f t="shared" si="2"/>
        <v>8.4383202099737389</v>
      </c>
      <c r="F10" s="47"/>
      <c r="H10" s="359">
        <v>9</v>
      </c>
      <c r="I10" s="359">
        <v>9</v>
      </c>
      <c r="J10" s="359">
        <v>8</v>
      </c>
      <c r="K10" s="47"/>
      <c r="L10" s="186">
        <f t="shared" si="0"/>
        <v>34.438320209973739</v>
      </c>
      <c r="M10" s="184">
        <f t="shared" si="1"/>
        <v>4</v>
      </c>
    </row>
    <row r="11" spans="1:19" ht="18">
      <c r="A11" s="346" t="s">
        <v>157</v>
      </c>
      <c r="C11" s="418">
        <v>16666</v>
      </c>
      <c r="D11" s="192"/>
      <c r="E11" s="239">
        <f t="shared" si="2"/>
        <v>0</v>
      </c>
      <c r="F11" s="47"/>
      <c r="H11" s="359">
        <v>5</v>
      </c>
      <c r="I11" s="359">
        <v>6</v>
      </c>
      <c r="J11" s="359">
        <v>6</v>
      </c>
      <c r="K11" s="47"/>
      <c r="L11" s="186">
        <f t="shared" si="0"/>
        <v>17</v>
      </c>
      <c r="M11" s="184">
        <f t="shared" si="1"/>
        <v>5</v>
      </c>
    </row>
    <row r="12" spans="1:19" ht="18">
      <c r="A12" s="346" t="s">
        <v>158</v>
      </c>
      <c r="C12" s="418">
        <v>12434</v>
      </c>
      <c r="D12" s="192"/>
      <c r="E12" s="239">
        <f t="shared" si="2"/>
        <v>18.512685914260707</v>
      </c>
      <c r="F12" s="47"/>
      <c r="H12" s="359">
        <v>8</v>
      </c>
      <c r="I12" s="359">
        <v>7</v>
      </c>
      <c r="J12" s="359">
        <v>8</v>
      </c>
      <c r="K12" s="47"/>
      <c r="L12" s="186">
        <f t="shared" si="0"/>
        <v>41.512685914260707</v>
      </c>
      <c r="M12" s="184">
        <f t="shared" si="1"/>
        <v>2</v>
      </c>
    </row>
    <row r="13" spans="1:19" ht="18">
      <c r="A13" s="338"/>
      <c r="C13" s="194"/>
      <c r="D13" s="193"/>
      <c r="E13" s="239"/>
      <c r="F13" s="47"/>
      <c r="H13" s="264"/>
      <c r="I13" s="411"/>
      <c r="J13" s="412"/>
      <c r="K13" s="47"/>
      <c r="L13" s="186"/>
      <c r="M13" s="184"/>
    </row>
    <row r="14" spans="1:19" ht="14.4">
      <c r="A14" s="212"/>
      <c r="B14" s="51"/>
      <c r="C14" s="232"/>
      <c r="D14" s="6"/>
      <c r="M14" s="237"/>
    </row>
    <row r="15" spans="1:19" ht="14.4">
      <c r="A15" s="240" t="s">
        <v>108</v>
      </c>
      <c r="B15" s="51"/>
      <c r="C15" s="187"/>
      <c r="D15" s="6"/>
      <c r="L15" s="231" t="s">
        <v>126</v>
      </c>
    </row>
    <row r="16" spans="1:19">
      <c r="A16" s="112" t="s">
        <v>109</v>
      </c>
      <c r="B16" s="36"/>
      <c r="C16" s="46"/>
      <c r="D16" s="6"/>
    </row>
    <row r="17" spans="1:8">
      <c r="A17" s="112" t="s">
        <v>110</v>
      </c>
      <c r="B17" s="36"/>
      <c r="C17" s="46"/>
      <c r="D17" s="6"/>
    </row>
    <row r="18" spans="1:8">
      <c r="A18" s="112" t="s">
        <v>111</v>
      </c>
      <c r="B18" s="220">
        <f>20/(B21-B20)</f>
        <v>4.3744531933508314E-3</v>
      </c>
      <c r="C18" s="46"/>
      <c r="D18" s="6"/>
    </row>
    <row r="19" spans="1:8">
      <c r="A19" s="112" t="s">
        <v>112</v>
      </c>
      <c r="B19" s="36">
        <f>20+(B18*B20)</f>
        <v>72.904636920384945</v>
      </c>
      <c r="C19" s="46"/>
      <c r="D19" s="6"/>
    </row>
    <row r="20" spans="1:8">
      <c r="A20" s="112" t="s">
        <v>63</v>
      </c>
      <c r="B20" s="218">
        <f>MIN(C7:C13)</f>
        <v>12094</v>
      </c>
      <c r="C20" s="46"/>
      <c r="D20" s="6"/>
    </row>
    <row r="21" spans="1:8">
      <c r="A21" s="43" t="s">
        <v>113</v>
      </c>
      <c r="B21" s="219">
        <f>MAX(C7:C13)</f>
        <v>16666</v>
      </c>
      <c r="C21" s="46"/>
      <c r="D21" s="6"/>
    </row>
    <row r="22" spans="1:8">
      <c r="A22" s="43" t="s">
        <v>114</v>
      </c>
      <c r="B22" s="217">
        <v>20</v>
      </c>
      <c r="C22" s="46"/>
      <c r="D22" s="6"/>
    </row>
    <row r="23" spans="1:8">
      <c r="A23" s="43"/>
      <c r="B23" s="36"/>
      <c r="C23" s="46"/>
      <c r="D23" s="6"/>
    </row>
    <row r="24" spans="1:8">
      <c r="A24" s="238" t="s">
        <v>123</v>
      </c>
      <c r="B24" s="36"/>
      <c r="C24" s="46"/>
      <c r="D24" s="6"/>
      <c r="H24" s="231" t="s">
        <v>122</v>
      </c>
    </row>
    <row r="25" spans="1:8">
      <c r="A25" s="44"/>
      <c r="B25" s="36"/>
      <c r="C25" s="46"/>
    </row>
    <row r="26" spans="1:8">
      <c r="A26" s="1"/>
      <c r="B26" s="23"/>
      <c r="C26" s="1"/>
    </row>
    <row r="27" spans="1:8">
      <c r="A27" s="1"/>
      <c r="B27" s="1"/>
      <c r="C27" s="1"/>
    </row>
  </sheetData>
  <phoneticPr fontId="19" type="noConversion"/>
  <printOptions gridLines="1"/>
  <pageMargins left="0.75" right="0.75" top="1" bottom="1" header="0.5" footer="0.5"/>
  <pageSetup scale="77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26"/>
  <sheetViews>
    <sheetView zoomScale="80" zoomScaleNormal="80" workbookViewId="0">
      <selection activeCell="H31" sqref="H31"/>
    </sheetView>
  </sheetViews>
  <sheetFormatPr defaultColWidth="8.88671875" defaultRowHeight="13.2"/>
  <cols>
    <col min="1" max="1" width="50.44140625" customWidth="1"/>
    <col min="2" max="16" width="7.6640625" style="299" customWidth="1"/>
    <col min="17" max="17" width="12.33203125" style="3" customWidth="1"/>
    <col min="18" max="18" width="10.44140625" style="3" customWidth="1"/>
    <col min="19" max="19" width="12.5546875" style="3" customWidth="1"/>
  </cols>
  <sheetData>
    <row r="1" spans="1:22" ht="17.399999999999999">
      <c r="A1" s="329" t="s">
        <v>169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8"/>
      <c r="R1" s="29"/>
      <c r="S1" s="28"/>
    </row>
    <row r="2" spans="1:22" ht="21">
      <c r="A2" s="175" t="s">
        <v>38</v>
      </c>
      <c r="B2" s="296"/>
      <c r="C2" s="296"/>
      <c r="D2" s="296"/>
      <c r="E2" s="296"/>
      <c r="F2" s="296"/>
      <c r="G2" s="296"/>
      <c r="H2" s="365" t="s">
        <v>125</v>
      </c>
      <c r="I2" s="296"/>
      <c r="J2" s="296"/>
      <c r="K2" s="296"/>
      <c r="L2" s="297"/>
      <c r="M2" s="296"/>
      <c r="N2" s="298"/>
      <c r="O2" s="296"/>
      <c r="P2" s="296"/>
      <c r="Q2" s="39"/>
      <c r="R2" s="133"/>
      <c r="S2" s="39"/>
      <c r="T2" s="231"/>
    </row>
    <row r="3" spans="1:22" s="3" customFormat="1" ht="17.399999999999999">
      <c r="A3" s="26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363" t="s">
        <v>58</v>
      </c>
      <c r="R3" s="363" t="s">
        <v>42</v>
      </c>
      <c r="S3" s="364" t="s">
        <v>23</v>
      </c>
      <c r="T3" s="274"/>
      <c r="U3" s="274"/>
      <c r="V3" s="275"/>
    </row>
    <row r="4" spans="1:22" ht="18">
      <c r="A4" s="346" t="s">
        <v>153</v>
      </c>
      <c r="B4" s="310"/>
      <c r="C4" s="310"/>
      <c r="D4" s="310"/>
      <c r="E4" s="310"/>
      <c r="F4" s="310"/>
      <c r="G4" s="310"/>
      <c r="H4" s="392"/>
      <c r="I4" s="310"/>
      <c r="J4" s="310"/>
      <c r="K4" s="310"/>
      <c r="L4" s="310"/>
      <c r="M4" s="310"/>
      <c r="N4" s="310"/>
      <c r="O4" s="310"/>
      <c r="P4" s="196"/>
      <c r="Q4" s="366" t="e">
        <f>AVERAGE(B4:P4)</f>
        <v>#DIV/0!</v>
      </c>
      <c r="R4" s="367" t="e">
        <f>IF(Q4&lt;2.5,2.5,Q4)</f>
        <v>#DIV/0!</v>
      </c>
      <c r="S4" s="364" t="e">
        <f>RANK(R4,$R$4:$R$9)</f>
        <v>#DIV/0!</v>
      </c>
      <c r="T4" s="276"/>
      <c r="U4" s="276"/>
      <c r="V4" s="277"/>
    </row>
    <row r="5" spans="1:22" ht="18">
      <c r="A5" s="346" t="s">
        <v>154</v>
      </c>
      <c r="B5" s="310"/>
      <c r="C5" s="310"/>
      <c r="D5" s="310"/>
      <c r="E5" s="310"/>
      <c r="F5" s="310"/>
      <c r="G5" s="310"/>
      <c r="H5" s="392"/>
      <c r="I5" s="310"/>
      <c r="J5" s="310"/>
      <c r="K5" s="310"/>
      <c r="L5" s="310"/>
      <c r="M5" s="310"/>
      <c r="N5" s="310"/>
      <c r="O5" s="310"/>
      <c r="P5" s="196"/>
      <c r="Q5" s="366" t="e">
        <f t="shared" ref="Q5:Q9" si="0">AVERAGE(B5:P5)</f>
        <v>#DIV/0!</v>
      </c>
      <c r="R5" s="367" t="e">
        <f t="shared" ref="R5:R9" si="1">IF(Q5&lt;2.5,2.5,Q5)</f>
        <v>#DIV/0!</v>
      </c>
      <c r="S5" s="364" t="e">
        <f t="shared" ref="S5:S9" si="2">RANK(R5,$R$4:$R$9)</f>
        <v>#DIV/0!</v>
      </c>
      <c r="T5" s="276"/>
      <c r="U5" s="276"/>
      <c r="V5" s="277"/>
    </row>
    <row r="6" spans="1:22" ht="18">
      <c r="A6" s="346" t="s">
        <v>155</v>
      </c>
      <c r="B6" s="360"/>
      <c r="C6" s="360"/>
      <c r="D6" s="360"/>
      <c r="E6" s="360"/>
      <c r="F6" s="360"/>
      <c r="G6" s="360"/>
      <c r="H6" s="393"/>
      <c r="I6" s="360"/>
      <c r="J6" s="360"/>
      <c r="K6" s="360"/>
      <c r="L6" s="361"/>
      <c r="M6" s="361"/>
      <c r="N6" s="361"/>
      <c r="O6" s="361"/>
      <c r="P6" s="361"/>
      <c r="Q6" s="366" t="e">
        <f t="shared" si="0"/>
        <v>#DIV/0!</v>
      </c>
      <c r="R6" s="367" t="e">
        <f t="shared" si="1"/>
        <v>#DIV/0!</v>
      </c>
      <c r="S6" s="364" t="e">
        <f t="shared" si="2"/>
        <v>#DIV/0!</v>
      </c>
    </row>
    <row r="7" spans="1:22" ht="18">
      <c r="A7" s="346" t="s">
        <v>156</v>
      </c>
      <c r="B7" s="362"/>
      <c r="C7" s="362"/>
      <c r="D7" s="362"/>
      <c r="E7" s="362"/>
      <c r="F7" s="362"/>
      <c r="G7" s="362"/>
      <c r="H7" s="353"/>
      <c r="I7" s="362"/>
      <c r="J7" s="362"/>
      <c r="K7" s="362"/>
      <c r="L7" s="362"/>
      <c r="M7" s="362"/>
      <c r="N7" s="362"/>
      <c r="O7" s="362"/>
      <c r="P7" s="362"/>
      <c r="Q7" s="366" t="e">
        <f t="shared" si="0"/>
        <v>#DIV/0!</v>
      </c>
      <c r="R7" s="367" t="e">
        <f t="shared" si="1"/>
        <v>#DIV/0!</v>
      </c>
      <c r="S7" s="364" t="e">
        <f t="shared" si="2"/>
        <v>#DIV/0!</v>
      </c>
    </row>
    <row r="8" spans="1:22" ht="18">
      <c r="A8" s="346" t="s">
        <v>157</v>
      </c>
      <c r="B8" s="362"/>
      <c r="C8" s="362"/>
      <c r="D8" s="362"/>
      <c r="E8" s="362"/>
      <c r="F8" s="362"/>
      <c r="G8" s="362"/>
      <c r="H8" s="353"/>
      <c r="I8" s="362"/>
      <c r="J8" s="362"/>
      <c r="K8" s="362"/>
      <c r="L8" s="362"/>
      <c r="M8" s="362"/>
      <c r="N8" s="362"/>
      <c r="O8" s="362"/>
      <c r="P8" s="362"/>
      <c r="Q8" s="366" t="e">
        <f t="shared" si="0"/>
        <v>#DIV/0!</v>
      </c>
      <c r="R8" s="367" t="e">
        <f t="shared" si="1"/>
        <v>#DIV/0!</v>
      </c>
      <c r="S8" s="364" t="e">
        <f t="shared" si="2"/>
        <v>#DIV/0!</v>
      </c>
    </row>
    <row r="9" spans="1:22" ht="18">
      <c r="A9" s="346" t="s">
        <v>158</v>
      </c>
      <c r="B9" s="293" t="s">
        <v>38</v>
      </c>
      <c r="C9" s="362"/>
      <c r="D9" s="362"/>
      <c r="E9" s="362"/>
      <c r="F9" s="362"/>
      <c r="G9" s="362"/>
      <c r="H9" s="353"/>
      <c r="I9" s="362"/>
      <c r="J9" s="362"/>
      <c r="K9" s="362"/>
      <c r="L9" s="362"/>
      <c r="M9" s="362"/>
      <c r="N9" s="362"/>
      <c r="O9" s="362"/>
      <c r="P9" s="362"/>
      <c r="Q9" s="366" t="e">
        <f t="shared" si="0"/>
        <v>#DIV/0!</v>
      </c>
      <c r="R9" s="367" t="e">
        <f t="shared" si="1"/>
        <v>#DIV/0!</v>
      </c>
      <c r="S9" s="364" t="e">
        <f t="shared" si="2"/>
        <v>#DIV/0!</v>
      </c>
    </row>
    <row r="18" spans="2:11">
      <c r="B18" s="300"/>
      <c r="C18" s="300"/>
      <c r="D18" s="300"/>
      <c r="E18" s="300"/>
      <c r="F18" s="300"/>
      <c r="G18" s="300"/>
      <c r="H18" s="300"/>
      <c r="I18" s="300"/>
      <c r="J18" s="300"/>
      <c r="K18" s="300"/>
    </row>
    <row r="26" spans="2:11"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</sheetData>
  <phoneticPr fontId="19" type="noConversion"/>
  <printOptions gridLines="1"/>
  <pageMargins left="0.75" right="0.75" top="1" bottom="1" header="0.5" footer="0.5"/>
  <pageSetup scale="7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15"/>
  <sheetViews>
    <sheetView zoomScale="90" zoomScaleNormal="90" workbookViewId="0">
      <selection activeCell="E7" sqref="E7"/>
    </sheetView>
  </sheetViews>
  <sheetFormatPr defaultColWidth="8.88671875" defaultRowHeight="13.2"/>
  <cols>
    <col min="1" max="1" width="39.6640625" customWidth="1"/>
    <col min="2" max="2" width="15.33203125" customWidth="1"/>
    <col min="3" max="3" width="13.88671875" style="273" bestFit="1" customWidth="1"/>
    <col min="4" max="4" width="10.109375" customWidth="1"/>
    <col min="5" max="5" width="12.44140625" customWidth="1"/>
    <col min="7" max="7" width="10.88671875" style="37" customWidth="1"/>
    <col min="8" max="8" width="8.88671875" style="3"/>
    <col min="9" max="9" width="41.88671875" customWidth="1"/>
  </cols>
  <sheetData>
    <row r="1" spans="1:16" ht="45">
      <c r="A1" s="7" t="s">
        <v>170</v>
      </c>
      <c r="E1" s="145"/>
      <c r="F1" s="145"/>
    </row>
    <row r="2" spans="1:16" ht="17.399999999999999">
      <c r="A2" s="7"/>
      <c r="B2" s="7"/>
      <c r="C2" s="313"/>
      <c r="D2" s="6" t="s">
        <v>0</v>
      </c>
      <c r="E2" s="109">
        <f>MAX(C10:C11)</f>
        <v>1.4141381230000001</v>
      </c>
      <c r="F2" s="6" t="s">
        <v>10</v>
      </c>
      <c r="G2" s="311" t="s">
        <v>24</v>
      </c>
      <c r="I2" s="56"/>
    </row>
    <row r="3" spans="1:16">
      <c r="A3" s="6"/>
      <c r="B3" s="6"/>
      <c r="C3" s="60"/>
      <c r="D3" s="6" t="s">
        <v>1</v>
      </c>
      <c r="E3" s="109">
        <f>MIN(C10:C15)</f>
        <v>0.74207248000000003</v>
      </c>
      <c r="F3" s="6" t="s">
        <v>10</v>
      </c>
      <c r="G3" s="311" t="s">
        <v>25</v>
      </c>
      <c r="I3" s="56"/>
    </row>
    <row r="4" spans="1:16">
      <c r="A4" s="10"/>
      <c r="B4" s="10"/>
      <c r="C4" s="314"/>
      <c r="D4" s="6" t="s">
        <v>12</v>
      </c>
      <c r="E4" s="182">
        <v>29.7</v>
      </c>
      <c r="F4" s="6" t="s">
        <v>11</v>
      </c>
      <c r="G4" s="311" t="s">
        <v>26</v>
      </c>
      <c r="I4" s="56"/>
    </row>
    <row r="5" spans="1:16">
      <c r="A5" s="10"/>
      <c r="B5" s="10"/>
      <c r="C5" s="314"/>
      <c r="D5" s="6" t="s">
        <v>115</v>
      </c>
      <c r="E5" s="425"/>
      <c r="F5" s="6"/>
      <c r="G5" s="311"/>
      <c r="I5" s="56"/>
    </row>
    <row r="6" spans="1:16">
      <c r="A6" s="10"/>
      <c r="B6" s="10"/>
      <c r="C6" s="314"/>
      <c r="D6" s="6" t="s">
        <v>116</v>
      </c>
      <c r="E6" s="442">
        <f>100/(E2-E3)</f>
        <v>148.79498906329303</v>
      </c>
      <c r="F6" s="6"/>
      <c r="G6" s="311"/>
      <c r="I6" s="56"/>
    </row>
    <row r="7" spans="1:16">
      <c r="A7" s="10"/>
      <c r="B7" s="10"/>
      <c r="C7" s="314"/>
      <c r="D7" s="6" t="s">
        <v>117</v>
      </c>
      <c r="E7" s="442">
        <f>(E6*E2)</f>
        <v>210.41666654577074</v>
      </c>
      <c r="F7" s="6"/>
      <c r="G7" s="311"/>
      <c r="I7" s="56"/>
    </row>
    <row r="8" spans="1:16">
      <c r="A8" s="12"/>
      <c r="B8" s="12"/>
      <c r="C8" s="109"/>
      <c r="D8" s="12"/>
      <c r="E8" s="153"/>
      <c r="F8" s="6"/>
      <c r="H8" s="17"/>
      <c r="I8" s="57"/>
      <c r="J8" s="57"/>
    </row>
    <row r="9" spans="1:16" ht="39.6">
      <c r="A9" s="11"/>
      <c r="B9" s="35" t="s">
        <v>32</v>
      </c>
      <c r="C9" s="315" t="s">
        <v>41</v>
      </c>
      <c r="D9" s="35" t="s">
        <v>9</v>
      </c>
      <c r="E9" s="32" t="s">
        <v>120</v>
      </c>
      <c r="F9" s="32" t="s">
        <v>23</v>
      </c>
      <c r="G9" s="122" t="s">
        <v>56</v>
      </c>
      <c r="H9" s="2" t="s">
        <v>128</v>
      </c>
      <c r="I9" s="35"/>
      <c r="J9" s="32"/>
      <c r="L9" s="121" t="s">
        <v>38</v>
      </c>
    </row>
    <row r="10" spans="1:16" ht="18">
      <c r="A10" s="346" t="s">
        <v>153</v>
      </c>
      <c r="B10" s="263" t="s">
        <v>193</v>
      </c>
      <c r="C10" s="294">
        <v>1.4141381230000001</v>
      </c>
      <c r="D10" s="179">
        <f>+E4/C10</f>
        <v>21.002191735693696</v>
      </c>
      <c r="E10" s="16">
        <f t="shared" ref="E10:E13" si="0">100-($E$6*C10)+$E$7</f>
        <v>100</v>
      </c>
      <c r="F10" s="232">
        <f>RANK($E10,$E$10:$E$15)</f>
        <v>4</v>
      </c>
      <c r="G10" s="259">
        <v>29.7</v>
      </c>
      <c r="H10" s="368"/>
      <c r="I10" s="312"/>
      <c r="J10" s="6"/>
      <c r="L10" s="47" t="s">
        <v>38</v>
      </c>
      <c r="M10" s="58"/>
      <c r="N10" s="58"/>
      <c r="O10" s="58"/>
      <c r="P10" s="58"/>
    </row>
    <row r="11" spans="1:16" ht="18">
      <c r="A11" s="346" t="s">
        <v>154</v>
      </c>
      <c r="B11" s="263" t="s">
        <v>193</v>
      </c>
      <c r="C11" s="294">
        <v>1.31612855</v>
      </c>
      <c r="D11" s="179">
        <f>+E4/C11</f>
        <v>22.566184739325045</v>
      </c>
      <c r="E11" s="16">
        <f t="shared" si="0"/>
        <v>114.58333334263304</v>
      </c>
      <c r="F11" s="232">
        <f t="shared" ref="F11:F13" si="1">RANK($E11,$E$10:$E$15)</f>
        <v>3</v>
      </c>
      <c r="G11" s="259">
        <v>29.7</v>
      </c>
      <c r="H11" s="368"/>
      <c r="I11" s="312"/>
      <c r="J11" s="6"/>
      <c r="L11" s="47"/>
      <c r="M11" s="58"/>
      <c r="N11" s="58"/>
      <c r="O11" s="58"/>
      <c r="P11" s="58"/>
    </row>
    <row r="12" spans="1:16" ht="18">
      <c r="A12" s="346" t="s">
        <v>155</v>
      </c>
      <c r="B12" s="263" t="s">
        <v>193</v>
      </c>
      <c r="C12" s="423">
        <v>0.74207248000000003</v>
      </c>
      <c r="D12" s="179">
        <f>+E4/C12</f>
        <v>40.023044649223479</v>
      </c>
      <c r="E12" s="16">
        <f t="shared" si="0"/>
        <v>200</v>
      </c>
      <c r="F12" s="232">
        <f t="shared" si="1"/>
        <v>1</v>
      </c>
      <c r="G12" s="259">
        <v>29.7</v>
      </c>
      <c r="H12" s="17"/>
    </row>
    <row r="13" spans="1:16" ht="18">
      <c r="A13" s="346" t="s">
        <v>156</v>
      </c>
      <c r="B13" s="263" t="s">
        <v>193</v>
      </c>
      <c r="C13" s="424">
        <v>0.96609436100000001</v>
      </c>
      <c r="D13" s="179">
        <f>+E4/C13</f>
        <v>30.742338635801229</v>
      </c>
      <c r="E13" s="16">
        <f t="shared" si="0"/>
        <v>166.66666666666666</v>
      </c>
      <c r="F13" s="232">
        <f t="shared" si="1"/>
        <v>2</v>
      </c>
      <c r="G13" s="259">
        <v>29.7</v>
      </c>
    </row>
    <row r="14" spans="1:16" ht="18">
      <c r="A14" s="346" t="s">
        <v>157</v>
      </c>
      <c r="B14" s="263" t="s">
        <v>193</v>
      </c>
      <c r="C14" s="424"/>
      <c r="D14" s="179"/>
      <c r="E14" s="16"/>
      <c r="F14" s="232"/>
      <c r="G14" s="259"/>
    </row>
    <row r="15" spans="1:16" ht="18">
      <c r="A15" s="346" t="s">
        <v>158</v>
      </c>
      <c r="B15" s="263" t="s">
        <v>193</v>
      </c>
      <c r="C15" s="424"/>
      <c r="D15" s="179"/>
      <c r="E15" s="16"/>
      <c r="F15" s="232"/>
      <c r="G15" s="259"/>
    </row>
  </sheetData>
  <phoneticPr fontId="19" type="noConversion"/>
  <printOptions gridLines="1"/>
  <pageMargins left="0.75" right="0.75" top="1" bottom="1" header="0.5" footer="0.5"/>
  <pageSetup scale="65" orientation="landscape" horizontalDpi="4294967293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43"/>
  <sheetViews>
    <sheetView topLeftCell="A13" workbookViewId="0">
      <selection activeCell="G17" sqref="G17:G18"/>
    </sheetView>
  </sheetViews>
  <sheetFormatPr defaultColWidth="8.88671875" defaultRowHeight="13.2"/>
  <cols>
    <col min="1" max="1" width="54" customWidth="1"/>
    <col min="2" max="2" width="11" customWidth="1"/>
    <col min="3" max="3" width="21.44140625" style="58" customWidth="1"/>
    <col min="4" max="4" width="20" customWidth="1"/>
    <col min="5" max="5" width="16.88671875" customWidth="1"/>
    <col min="6" max="6" width="16.88671875" style="154" customWidth="1"/>
    <col min="7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186</v>
      </c>
      <c r="B1" s="119"/>
      <c r="C1" s="177"/>
      <c r="D1" s="6"/>
      <c r="E1" s="18"/>
      <c r="F1" s="320" t="s">
        <v>118</v>
      </c>
      <c r="G1" s="181"/>
      <c r="H1" s="9"/>
      <c r="I1" s="6"/>
      <c r="J1" s="6"/>
      <c r="K1" s="6"/>
      <c r="L1" s="6"/>
      <c r="M1" s="6"/>
      <c r="N1" s="6"/>
      <c r="O1" s="6"/>
      <c r="P1" s="6"/>
    </row>
    <row r="2" spans="1:16" s="58" customFormat="1">
      <c r="A2" s="177"/>
      <c r="B2" s="129"/>
      <c r="C2" s="16"/>
      <c r="D2" s="9"/>
      <c r="E2" s="18"/>
      <c r="F2" s="320" t="s">
        <v>104</v>
      </c>
      <c r="G2" s="181"/>
      <c r="H2" s="357"/>
      <c r="I2" s="34"/>
      <c r="J2" s="34"/>
      <c r="K2" s="34"/>
      <c r="L2" s="34"/>
      <c r="M2" s="34"/>
      <c r="N2" s="34"/>
      <c r="O2" s="34"/>
      <c r="P2" s="34"/>
    </row>
    <row r="3" spans="1:16">
      <c r="A3" s="10" t="s">
        <v>171</v>
      </c>
      <c r="B3" s="317"/>
      <c r="C3" s="317" t="s">
        <v>138</v>
      </c>
      <c r="D3" s="49"/>
      <c r="E3" s="2" t="s">
        <v>29</v>
      </c>
      <c r="F3" s="2" t="s">
        <v>61</v>
      </c>
      <c r="G3" s="2" t="s">
        <v>62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318" t="s">
        <v>172</v>
      </c>
      <c r="C4" s="2" t="s">
        <v>42</v>
      </c>
      <c r="D4" s="22"/>
      <c r="E4" s="426" t="s">
        <v>64</v>
      </c>
      <c r="F4" s="2" t="s">
        <v>8</v>
      </c>
      <c r="G4" s="321" t="s">
        <v>42</v>
      </c>
      <c r="H4" s="22" t="s">
        <v>23</v>
      </c>
      <c r="I4" s="22"/>
      <c r="J4" s="19"/>
      <c r="K4" s="19"/>
      <c r="L4" s="5"/>
      <c r="M4" s="5"/>
      <c r="N4" s="5"/>
      <c r="O4" s="5"/>
      <c r="P4" s="2"/>
    </row>
    <row r="5" spans="1:16" ht="18">
      <c r="A5" s="346" t="s">
        <v>153</v>
      </c>
      <c r="B5" s="319">
        <v>82</v>
      </c>
      <c r="C5" s="417">
        <f>10^(($B$12-B5)/10)*150</f>
        <v>75.178085044090835</v>
      </c>
      <c r="D5" s="51"/>
      <c r="E5" s="369">
        <v>3</v>
      </c>
      <c r="F5" s="320">
        <f>-($E$13*E5)+$E$14</f>
        <v>50</v>
      </c>
      <c r="G5" s="320">
        <f>+C5+F5</f>
        <v>125.17808504409084</v>
      </c>
      <c r="H5" s="52">
        <f>RANK(G5, $G$5:$G$10)</f>
        <v>3</v>
      </c>
      <c r="I5" s="27"/>
      <c r="J5" s="17"/>
      <c r="K5" s="51"/>
      <c r="L5" s="17"/>
      <c r="M5" s="17"/>
      <c r="N5" s="3"/>
    </row>
    <row r="6" spans="1:16" ht="18">
      <c r="A6" s="346" t="s">
        <v>154</v>
      </c>
      <c r="B6" s="319">
        <v>80</v>
      </c>
      <c r="C6" s="417">
        <f t="shared" ref="C6:C8" si="0">10^(($B$12-B6)/10)*150</f>
        <v>119.14923520864222</v>
      </c>
      <c r="D6" s="51"/>
      <c r="E6" s="369">
        <v>2</v>
      </c>
      <c r="F6" s="320">
        <f t="shared" ref="F6:F8" si="1">-($E$13*E6)+$E$14</f>
        <v>100</v>
      </c>
      <c r="G6" s="320">
        <f>+C6+F6</f>
        <v>219.14923520864221</v>
      </c>
      <c r="H6" s="52">
        <f t="shared" ref="H6:H10" si="2">RANK(G6, $G$5:$G$10)</f>
        <v>2</v>
      </c>
      <c r="I6" s="27"/>
      <c r="J6" s="17"/>
      <c r="K6" s="51"/>
      <c r="L6" s="17"/>
      <c r="M6" s="17"/>
      <c r="N6" s="3"/>
    </row>
    <row r="7" spans="1:16" ht="18">
      <c r="A7" s="346" t="s">
        <v>155</v>
      </c>
      <c r="B7" s="319">
        <v>83</v>
      </c>
      <c r="C7" s="417">
        <f t="shared" si="0"/>
        <v>59.716075583024583</v>
      </c>
      <c r="D7" s="51"/>
      <c r="E7" s="369">
        <v>4</v>
      </c>
      <c r="F7" s="320">
        <f t="shared" si="1"/>
        <v>0</v>
      </c>
      <c r="G7" s="320">
        <f t="shared" ref="G7:G10" si="3">+C7+F7</f>
        <v>59.716075583024583</v>
      </c>
      <c r="H7" s="52">
        <f t="shared" si="2"/>
        <v>4</v>
      </c>
      <c r="I7" s="4"/>
      <c r="J7" s="61"/>
      <c r="K7" s="63"/>
      <c r="L7" s="1"/>
    </row>
    <row r="8" spans="1:16" ht="18">
      <c r="A8" s="346" t="s">
        <v>156</v>
      </c>
      <c r="B8" s="319">
        <v>79</v>
      </c>
      <c r="C8" s="417">
        <f t="shared" si="0"/>
        <v>150</v>
      </c>
      <c r="D8" s="51"/>
      <c r="E8" s="369">
        <v>1</v>
      </c>
      <c r="F8" s="320">
        <f t="shared" si="1"/>
        <v>150</v>
      </c>
      <c r="G8" s="320">
        <f t="shared" si="3"/>
        <v>300</v>
      </c>
      <c r="H8" s="52">
        <f t="shared" si="2"/>
        <v>1</v>
      </c>
      <c r="I8" s="4"/>
      <c r="J8" s="1"/>
      <c r="K8" s="1"/>
      <c r="L8" s="1"/>
    </row>
    <row r="9" spans="1:16" ht="18">
      <c r="A9" s="346"/>
      <c r="B9" s="319"/>
      <c r="C9" s="370"/>
      <c r="D9" s="51"/>
      <c r="E9" s="369"/>
      <c r="F9" s="320"/>
      <c r="G9" s="320"/>
      <c r="H9" s="52"/>
      <c r="I9" s="4"/>
      <c r="J9" s="1"/>
      <c r="K9" s="1"/>
      <c r="L9" s="1"/>
    </row>
    <row r="10" spans="1:16" ht="18">
      <c r="A10" s="346" t="s">
        <v>158</v>
      </c>
      <c r="B10" s="319" t="s">
        <v>187</v>
      </c>
      <c r="C10" s="370">
        <v>0</v>
      </c>
      <c r="D10" s="51"/>
      <c r="E10" s="369" t="s">
        <v>187</v>
      </c>
      <c r="F10" s="320">
        <v>0</v>
      </c>
      <c r="G10" s="320">
        <f t="shared" si="3"/>
        <v>0</v>
      </c>
      <c r="H10" s="52">
        <f t="shared" si="2"/>
        <v>5</v>
      </c>
      <c r="I10" s="4"/>
      <c r="J10" s="1"/>
      <c r="K10" s="1"/>
      <c r="L10" s="1"/>
    </row>
    <row r="11" spans="1:16">
      <c r="B11" s="62"/>
      <c r="C11" s="62"/>
      <c r="D11" s="62" t="s">
        <v>130</v>
      </c>
      <c r="E11" s="134">
        <f>MIN(E5:E10)</f>
        <v>1</v>
      </c>
      <c r="F11" s="224"/>
      <c r="G11" s="48"/>
      <c r="H11" s="48"/>
      <c r="I11" s="4"/>
      <c r="J11" s="1"/>
      <c r="K11" s="1"/>
      <c r="L11" s="1"/>
    </row>
    <row r="12" spans="1:16">
      <c r="A12" s="131" t="s">
        <v>137</v>
      </c>
      <c r="B12" s="65">
        <v>79</v>
      </c>
      <c r="C12" s="66"/>
      <c r="D12" s="66" t="s">
        <v>132</v>
      </c>
      <c r="E12" s="134">
        <f>MAX(E5:E10)</f>
        <v>4</v>
      </c>
      <c r="F12" s="221"/>
      <c r="G12" s="66"/>
      <c r="H12" s="67"/>
      <c r="I12" s="4"/>
      <c r="J12" s="1"/>
      <c r="K12" s="1"/>
      <c r="L12" s="1"/>
    </row>
    <row r="13" spans="1:16">
      <c r="A13" s="131" t="s">
        <v>139</v>
      </c>
      <c r="B13" s="258">
        <v>84</v>
      </c>
      <c r="C13" s="66"/>
      <c r="D13" s="66" t="s">
        <v>129</v>
      </c>
      <c r="E13" s="66">
        <f>150/(E12-E11)</f>
        <v>50</v>
      </c>
      <c r="F13" s="221"/>
      <c r="G13" s="66"/>
      <c r="H13" s="67"/>
      <c r="I13" s="4"/>
      <c r="J13" s="1"/>
      <c r="K13" s="1"/>
      <c r="L13" s="1"/>
    </row>
    <row r="14" spans="1:16">
      <c r="A14" s="211"/>
      <c r="B14" s="65"/>
      <c r="C14" s="66"/>
      <c r="D14" s="66" t="s">
        <v>131</v>
      </c>
      <c r="E14" s="66">
        <f>E13*E12</f>
        <v>200</v>
      </c>
      <c r="F14" s="221"/>
      <c r="G14" s="66"/>
      <c r="H14" s="67"/>
      <c r="I14" s="4"/>
      <c r="J14" s="1"/>
      <c r="K14" s="1"/>
      <c r="L14" s="1"/>
    </row>
    <row r="15" spans="1:16">
      <c r="A15" s="249"/>
      <c r="B15" s="65"/>
      <c r="C15" s="66"/>
      <c r="D15" s="66"/>
      <c r="E15" s="66"/>
      <c r="F15" s="221"/>
      <c r="G15" s="66"/>
      <c r="H15" s="67"/>
      <c r="I15" s="4"/>
      <c r="J15" s="1"/>
      <c r="K15" s="1"/>
      <c r="L15" s="1"/>
    </row>
    <row r="16" spans="1:16">
      <c r="A16" s="226"/>
      <c r="B16" s="65"/>
      <c r="C16" s="66"/>
      <c r="D16" s="66"/>
      <c r="E16" s="66"/>
      <c r="F16" s="221"/>
      <c r="G16" s="66"/>
      <c r="H16" s="67"/>
      <c r="I16" s="4"/>
      <c r="J16" s="1"/>
      <c r="K16" s="1"/>
      <c r="L16" s="1"/>
    </row>
    <row r="17" spans="1:12">
      <c r="A17" s="226"/>
      <c r="B17" s="65"/>
      <c r="C17" s="66"/>
      <c r="D17" s="66"/>
      <c r="F17" s="221"/>
      <c r="G17" s="66"/>
      <c r="H17" s="67"/>
      <c r="I17" s="4"/>
      <c r="J17" s="1"/>
      <c r="K17" s="1"/>
      <c r="L17" s="1"/>
    </row>
    <row r="18" spans="1:12">
      <c r="A18" s="226"/>
      <c r="B18" s="250" t="s">
        <v>140</v>
      </c>
      <c r="C18" s="66"/>
      <c r="D18" s="66"/>
      <c r="F18" s="221"/>
      <c r="G18" s="66"/>
      <c r="H18" s="67"/>
      <c r="I18" s="4"/>
      <c r="J18" s="1"/>
      <c r="K18" s="1"/>
      <c r="L18" s="1"/>
    </row>
    <row r="19" spans="1:12">
      <c r="A19" s="64"/>
      <c r="B19" s="248" t="s">
        <v>102</v>
      </c>
      <c r="C19" s="242" t="s">
        <v>42</v>
      </c>
      <c r="D19" s="66"/>
      <c r="E19" s="66"/>
      <c r="F19" s="221"/>
      <c r="G19" s="66"/>
      <c r="H19" s="67"/>
      <c r="I19" s="4"/>
      <c r="J19" s="1"/>
      <c r="K19" s="1"/>
      <c r="L19" s="1"/>
    </row>
    <row r="20" spans="1:12">
      <c r="A20" s="243" t="s">
        <v>133</v>
      </c>
      <c r="B20" s="241">
        <f>B12</f>
        <v>79</v>
      </c>
      <c r="C20" s="171">
        <f>10^(($B$20-B20)/10)*150</f>
        <v>150</v>
      </c>
      <c r="D20" s="252" t="s">
        <v>141</v>
      </c>
      <c r="E20" s="66"/>
      <c r="F20" s="221"/>
      <c r="G20" s="66"/>
      <c r="H20" s="67"/>
      <c r="I20" s="4"/>
      <c r="J20" s="1"/>
      <c r="K20" s="1"/>
      <c r="L20" s="1"/>
    </row>
    <row r="21" spans="1:12">
      <c r="A21" s="64"/>
      <c r="B21" s="241">
        <f>B20+0.5</f>
        <v>79.5</v>
      </c>
      <c r="C21" s="171">
        <f t="shared" ref="C21:C36" si="4">10^(($B$20-B21)/10)*150</f>
        <v>133.68764072006181</v>
      </c>
      <c r="D21" s="66"/>
      <c r="E21" s="66"/>
      <c r="F21" s="221"/>
      <c r="G21" s="66"/>
      <c r="H21" s="67"/>
      <c r="I21" s="4"/>
      <c r="J21" s="1"/>
      <c r="K21" s="1"/>
      <c r="L21" s="1"/>
    </row>
    <row r="22" spans="1:12">
      <c r="A22" s="64"/>
      <c r="B22" s="241">
        <f t="shared" ref="B22:B36" si="5">B21+0.5</f>
        <v>80</v>
      </c>
      <c r="C22" s="171">
        <f t="shared" si="4"/>
        <v>119.14923520864222</v>
      </c>
      <c r="D22" s="66"/>
      <c r="E22" s="66"/>
      <c r="F22" s="221"/>
      <c r="G22" s="66"/>
      <c r="H22" s="67"/>
      <c r="I22" s="4"/>
      <c r="J22" s="1"/>
      <c r="K22" s="1"/>
      <c r="L22" s="1"/>
    </row>
    <row r="23" spans="1:12">
      <c r="A23" s="64"/>
      <c r="B23" s="241">
        <f t="shared" si="5"/>
        <v>80.5</v>
      </c>
      <c r="C23" s="171">
        <f t="shared" si="4"/>
        <v>106.19186765762069</v>
      </c>
      <c r="D23" s="66"/>
      <c r="E23" s="66"/>
      <c r="F23" s="221"/>
      <c r="G23" s="66"/>
      <c r="H23" s="67"/>
      <c r="I23" s="4"/>
      <c r="J23" s="1"/>
      <c r="K23" s="1"/>
      <c r="L23" s="1"/>
    </row>
    <row r="24" spans="1:12">
      <c r="A24" s="64"/>
      <c r="B24" s="241">
        <f t="shared" si="5"/>
        <v>81</v>
      </c>
      <c r="C24" s="171">
        <f t="shared" si="4"/>
        <v>94.643601672028993</v>
      </c>
      <c r="D24" s="66"/>
      <c r="E24" s="66"/>
      <c r="F24" s="221"/>
      <c r="G24" s="66"/>
      <c r="H24" s="67"/>
      <c r="I24" s="4"/>
      <c r="J24" s="1"/>
      <c r="K24" s="1"/>
      <c r="L24" s="1"/>
    </row>
    <row r="25" spans="1:12">
      <c r="A25" s="64"/>
      <c r="B25" s="241">
        <f t="shared" si="5"/>
        <v>81.5</v>
      </c>
      <c r="C25" s="171">
        <f t="shared" si="4"/>
        <v>84.351198778552359</v>
      </c>
      <c r="D25" s="66"/>
      <c r="E25" s="66"/>
      <c r="F25" s="221"/>
      <c r="G25" s="66"/>
      <c r="H25" s="67"/>
      <c r="I25" s="4"/>
      <c r="J25" s="1"/>
      <c r="K25" s="1"/>
      <c r="L25" s="1"/>
    </row>
    <row r="26" spans="1:12">
      <c r="A26" s="64"/>
      <c r="B26" s="241">
        <f t="shared" si="5"/>
        <v>82</v>
      </c>
      <c r="C26" s="171">
        <f t="shared" si="4"/>
        <v>75.178085044090835</v>
      </c>
      <c r="D26" s="130"/>
      <c r="E26" s="66"/>
      <c r="F26" s="225"/>
      <c r="G26" s="131"/>
      <c r="H26" s="67"/>
      <c r="I26" s="4"/>
    </row>
    <row r="27" spans="1:12">
      <c r="A27" s="64"/>
      <c r="B27" s="241">
        <f t="shared" si="5"/>
        <v>82.5</v>
      </c>
      <c r="C27" s="171">
        <f t="shared" si="4"/>
        <v>67.002538822644468</v>
      </c>
      <c r="D27" s="66"/>
      <c r="E27" s="66"/>
      <c r="F27" s="221"/>
      <c r="G27" s="66"/>
      <c r="H27" s="67"/>
      <c r="I27" s="4"/>
    </row>
    <row r="28" spans="1:12">
      <c r="A28" s="1"/>
      <c r="B28" s="241">
        <f t="shared" si="5"/>
        <v>83</v>
      </c>
      <c r="C28" s="171">
        <f t="shared" si="4"/>
        <v>59.716075583024583</v>
      </c>
      <c r="D28" s="1"/>
      <c r="E28" s="1"/>
      <c r="F28" s="222"/>
      <c r="G28" s="1"/>
      <c r="H28" s="1"/>
      <c r="I28" s="4"/>
    </row>
    <row r="29" spans="1:12">
      <c r="A29" s="1"/>
      <c r="B29" s="241">
        <f t="shared" si="5"/>
        <v>83.5</v>
      </c>
      <c r="C29" s="171">
        <f t="shared" si="4"/>
        <v>53.222008385036311</v>
      </c>
      <c r="D29" s="4"/>
      <c r="E29" s="4"/>
      <c r="F29" s="223"/>
      <c r="G29" s="4"/>
      <c r="H29" s="4"/>
      <c r="I29" s="4"/>
    </row>
    <row r="30" spans="1:12">
      <c r="B30" s="241">
        <f t="shared" si="5"/>
        <v>84</v>
      </c>
      <c r="C30" s="171">
        <f t="shared" si="4"/>
        <v>47.434164902525694</v>
      </c>
      <c r="D30" s="4"/>
      <c r="E30" s="4"/>
      <c r="F30" s="223"/>
      <c r="G30" s="4"/>
      <c r="H30" s="4"/>
      <c r="I30" s="4"/>
    </row>
    <row r="31" spans="1:12">
      <c r="B31" s="241">
        <f t="shared" si="5"/>
        <v>84.5</v>
      </c>
      <c r="C31" s="171">
        <f t="shared" si="4"/>
        <v>42.2757439689668</v>
      </c>
      <c r="D31" s="4"/>
      <c r="E31" s="4"/>
      <c r="F31" s="223"/>
      <c r="G31" s="4"/>
      <c r="H31" s="4"/>
      <c r="I31" s="4"/>
    </row>
    <row r="32" spans="1:12">
      <c r="B32" s="241">
        <f t="shared" si="5"/>
        <v>85</v>
      </c>
      <c r="C32" s="171">
        <f t="shared" si="4"/>
        <v>37.678296472643702</v>
      </c>
      <c r="D32" s="4"/>
      <c r="E32" s="4"/>
      <c r="F32" s="223"/>
      <c r="G32" s="4"/>
      <c r="H32" s="4"/>
      <c r="I32" s="4"/>
    </row>
    <row r="33" spans="1:9">
      <c r="B33" s="241">
        <f t="shared" si="5"/>
        <v>85.5</v>
      </c>
      <c r="C33" s="171">
        <f t="shared" si="4"/>
        <v>33.580817078525087</v>
      </c>
      <c r="D33" s="4"/>
      <c r="E33" s="4"/>
      <c r="F33" s="223"/>
      <c r="G33" s="4"/>
      <c r="H33" s="4"/>
      <c r="I33" s="4"/>
    </row>
    <row r="34" spans="1:9">
      <c r="B34" s="241">
        <f t="shared" si="5"/>
        <v>86</v>
      </c>
      <c r="C34" s="171">
        <f t="shared" si="4"/>
        <v>29.928934724533192</v>
      </c>
      <c r="D34" s="4"/>
      <c r="E34" s="4"/>
      <c r="F34" s="223"/>
      <c r="G34" s="4"/>
      <c r="H34" s="4"/>
      <c r="I34" s="4"/>
    </row>
    <row r="35" spans="1:9">
      <c r="B35" s="241">
        <f t="shared" si="5"/>
        <v>86.5</v>
      </c>
      <c r="C35" s="171">
        <f t="shared" si="4"/>
        <v>26.674191150583834</v>
      </c>
      <c r="D35" s="4"/>
      <c r="E35" s="4"/>
      <c r="F35" s="223"/>
      <c r="G35" s="4"/>
      <c r="H35" s="4"/>
      <c r="I35" s="4"/>
    </row>
    <row r="36" spans="1:9">
      <c r="A36" s="233" t="s">
        <v>134</v>
      </c>
      <c r="B36" s="241">
        <f t="shared" si="5"/>
        <v>87</v>
      </c>
      <c r="C36" s="171">
        <f t="shared" si="4"/>
        <v>23.773397886916698</v>
      </c>
      <c r="D36" s="251" t="s">
        <v>142</v>
      </c>
      <c r="E36" s="4"/>
      <c r="F36" s="223"/>
      <c r="G36" s="4"/>
      <c r="H36" s="4"/>
      <c r="I36" s="4"/>
    </row>
    <row r="37" spans="1:9">
      <c r="B37" s="241"/>
      <c r="C37" s="234"/>
      <c r="D37" s="4"/>
      <c r="E37" s="4"/>
      <c r="F37" s="223"/>
      <c r="G37" s="4"/>
      <c r="H37" s="4"/>
      <c r="I37" s="4"/>
    </row>
    <row r="38" spans="1:9">
      <c r="B38" s="241"/>
      <c r="C38" s="234"/>
      <c r="D38" s="4"/>
      <c r="E38" s="4"/>
      <c r="F38" s="223"/>
      <c r="G38" s="4"/>
      <c r="H38" s="4"/>
      <c r="I38" s="4"/>
    </row>
    <row r="39" spans="1:9">
      <c r="B39" s="65"/>
      <c r="C39" s="251"/>
      <c r="D39" s="4"/>
      <c r="E39" s="4"/>
      <c r="F39" s="223"/>
      <c r="G39" s="4"/>
      <c r="H39" s="4"/>
      <c r="I39" s="4"/>
    </row>
    <row r="40" spans="1:9">
      <c r="B40" s="65"/>
      <c r="C40" s="251"/>
      <c r="D40" s="4"/>
      <c r="E40" s="4"/>
      <c r="F40" s="223"/>
      <c r="G40" s="4"/>
      <c r="H40" s="4"/>
      <c r="I40" s="4"/>
    </row>
    <row r="41" spans="1:9">
      <c r="B41" s="65"/>
      <c r="C41" s="251"/>
      <c r="D41" s="4"/>
      <c r="E41" s="4"/>
      <c r="F41" s="223"/>
      <c r="G41" s="4"/>
      <c r="H41" s="4"/>
    </row>
    <row r="42" spans="1:9">
      <c r="B42" s="65"/>
      <c r="C42" s="251"/>
      <c r="D42" s="4"/>
      <c r="E42" s="4"/>
      <c r="F42" s="223"/>
      <c r="G42" s="4"/>
      <c r="H42" s="4"/>
    </row>
    <row r="43" spans="1:9">
      <c r="B43" s="65"/>
      <c r="C43" s="251"/>
      <c r="D43" s="4"/>
      <c r="E43" s="4"/>
      <c r="F43" s="223"/>
      <c r="G43" s="4"/>
      <c r="H43" s="4"/>
    </row>
  </sheetData>
  <phoneticPr fontId="19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O22"/>
  <sheetViews>
    <sheetView topLeftCell="G1" zoomScale="80" zoomScaleNormal="80" workbookViewId="0">
      <selection activeCell="B12" sqref="B12:AC22"/>
    </sheetView>
  </sheetViews>
  <sheetFormatPr defaultColWidth="8.88671875" defaultRowHeight="13.2"/>
  <cols>
    <col min="1" max="1" width="49.5546875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41" ht="17.399999999999999">
      <c r="A1" s="41" t="s">
        <v>173</v>
      </c>
      <c r="B1" s="38"/>
      <c r="C1" s="28"/>
      <c r="D1" s="28"/>
      <c r="E1" s="28"/>
      <c r="F1" s="173"/>
      <c r="G1" s="28"/>
      <c r="H1" s="354" t="s">
        <v>135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154"/>
      <c r="AL1" s="154"/>
    </row>
    <row r="2" spans="1:41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54"/>
      <c r="AL2" s="154"/>
    </row>
    <row r="3" spans="1:41" s="58" customFormat="1">
      <c r="A3" s="233"/>
      <c r="B3" s="253">
        <v>1</v>
      </c>
      <c r="C3" s="253">
        <v>2</v>
      </c>
      <c r="D3" s="253">
        <v>3</v>
      </c>
      <c r="E3" s="253">
        <v>4</v>
      </c>
      <c r="F3" s="253">
        <v>5</v>
      </c>
      <c r="G3" s="253">
        <v>6</v>
      </c>
      <c r="H3" s="253">
        <v>7</v>
      </c>
      <c r="I3" s="253">
        <v>8</v>
      </c>
      <c r="J3" s="253">
        <v>9</v>
      </c>
      <c r="K3" s="253">
        <v>10</v>
      </c>
      <c r="L3" s="253">
        <v>11</v>
      </c>
      <c r="M3" s="253">
        <v>12</v>
      </c>
      <c r="N3" s="253">
        <v>13</v>
      </c>
      <c r="O3" s="253">
        <v>14</v>
      </c>
      <c r="P3" s="253">
        <v>15</v>
      </c>
      <c r="Q3" s="253">
        <v>16</v>
      </c>
      <c r="R3" s="253">
        <v>17</v>
      </c>
      <c r="S3" s="253">
        <v>18</v>
      </c>
      <c r="T3" s="253">
        <v>19</v>
      </c>
      <c r="U3" s="253">
        <v>20</v>
      </c>
      <c r="V3" s="253">
        <v>21</v>
      </c>
      <c r="W3" s="253">
        <v>22</v>
      </c>
      <c r="X3" s="253">
        <v>23</v>
      </c>
      <c r="Y3" s="253">
        <v>24</v>
      </c>
      <c r="Z3" s="253">
        <v>25</v>
      </c>
      <c r="AA3" s="253">
        <v>26</v>
      </c>
      <c r="AB3" s="253">
        <v>27</v>
      </c>
      <c r="AC3" s="253">
        <v>28</v>
      </c>
      <c r="AD3" s="253">
        <v>29</v>
      </c>
      <c r="AE3" s="253">
        <v>30</v>
      </c>
      <c r="AF3" s="253">
        <v>31</v>
      </c>
      <c r="AG3" s="253">
        <v>32</v>
      </c>
      <c r="AH3" s="253">
        <v>33</v>
      </c>
      <c r="AI3" s="253">
        <v>34</v>
      </c>
      <c r="AJ3" s="253">
        <v>35</v>
      </c>
      <c r="AK3" s="144" t="s">
        <v>58</v>
      </c>
      <c r="AL3" s="144" t="s">
        <v>42</v>
      </c>
      <c r="AM3" s="126" t="s">
        <v>23</v>
      </c>
      <c r="AN3" s="231"/>
      <c r="AO3" s="231"/>
    </row>
    <row r="4" spans="1:41" s="58" customFormat="1" ht="18">
      <c r="A4" s="346" t="s">
        <v>153</v>
      </c>
      <c r="B4" s="414">
        <v>75</v>
      </c>
      <c r="C4" s="415">
        <v>50</v>
      </c>
      <c r="D4" s="415">
        <v>45</v>
      </c>
      <c r="E4" s="415">
        <v>66</v>
      </c>
      <c r="F4" s="415">
        <v>51</v>
      </c>
      <c r="G4" s="415">
        <v>35</v>
      </c>
      <c r="H4" s="415">
        <v>32.5</v>
      </c>
      <c r="I4" s="415">
        <v>37.5</v>
      </c>
      <c r="J4" s="415">
        <v>40</v>
      </c>
      <c r="K4" s="415">
        <v>45</v>
      </c>
      <c r="L4" s="415">
        <v>62</v>
      </c>
      <c r="M4" s="415">
        <v>52</v>
      </c>
      <c r="N4" s="415">
        <v>54</v>
      </c>
      <c r="O4" s="415">
        <v>60</v>
      </c>
      <c r="P4" s="415">
        <v>43</v>
      </c>
      <c r="Q4" s="415">
        <v>40</v>
      </c>
      <c r="R4" s="415">
        <v>22.5</v>
      </c>
      <c r="S4" s="415">
        <v>22</v>
      </c>
      <c r="T4" s="415">
        <v>35</v>
      </c>
      <c r="U4" s="415">
        <v>17.5</v>
      </c>
      <c r="V4" s="415"/>
      <c r="W4" s="415">
        <v>60</v>
      </c>
      <c r="X4" s="415">
        <v>71</v>
      </c>
      <c r="Y4" s="415">
        <v>39.5</v>
      </c>
      <c r="Z4" s="415">
        <v>30</v>
      </c>
      <c r="AA4" s="415">
        <v>37.5</v>
      </c>
      <c r="AB4" s="415"/>
      <c r="AC4" s="415"/>
      <c r="AD4" s="371"/>
      <c r="AE4" s="371"/>
      <c r="AF4" s="371"/>
      <c r="AG4" s="371"/>
      <c r="AH4" s="371"/>
      <c r="AI4" s="371"/>
      <c r="AJ4" s="371"/>
      <c r="AK4" s="244">
        <f t="shared" ref="AK4:AK9" si="0">AVERAGE(B4:AJ4)</f>
        <v>44.92</v>
      </c>
      <c r="AL4" s="244">
        <f>IF(AK4&lt;5,5,AK4)</f>
        <v>44.92</v>
      </c>
      <c r="AM4" s="172">
        <f>RANK(AL4,$AL$4:$AL$9)</f>
        <v>6</v>
      </c>
      <c r="AN4" s="231"/>
      <c r="AO4" s="231"/>
    </row>
    <row r="5" spans="1:41" s="58" customFormat="1" ht="18">
      <c r="A5" s="346" t="s">
        <v>154</v>
      </c>
      <c r="B5" s="414">
        <v>87.5</v>
      </c>
      <c r="C5" s="415">
        <v>74</v>
      </c>
      <c r="D5" s="415">
        <v>72.5</v>
      </c>
      <c r="E5" s="415">
        <v>67</v>
      </c>
      <c r="F5" s="415">
        <v>73</v>
      </c>
      <c r="G5" s="415">
        <v>54</v>
      </c>
      <c r="H5" s="415">
        <v>80</v>
      </c>
      <c r="I5" s="415">
        <v>45</v>
      </c>
      <c r="J5" s="415">
        <v>90</v>
      </c>
      <c r="K5" s="415">
        <v>49</v>
      </c>
      <c r="L5" s="415">
        <v>64</v>
      </c>
      <c r="M5" s="415">
        <v>68</v>
      </c>
      <c r="N5" s="415">
        <v>81</v>
      </c>
      <c r="O5" s="415">
        <v>82.5</v>
      </c>
      <c r="P5" s="415">
        <v>79</v>
      </c>
      <c r="Q5" s="415">
        <v>50</v>
      </c>
      <c r="R5" s="415">
        <v>58</v>
      </c>
      <c r="S5" s="415">
        <v>71</v>
      </c>
      <c r="T5" s="415">
        <v>68</v>
      </c>
      <c r="U5" s="415">
        <v>72.5</v>
      </c>
      <c r="V5" s="415">
        <v>74</v>
      </c>
      <c r="W5" s="415">
        <v>77.5</v>
      </c>
      <c r="X5" s="415">
        <v>59</v>
      </c>
      <c r="Y5" s="415">
        <v>74</v>
      </c>
      <c r="Z5" s="415">
        <v>67.5</v>
      </c>
      <c r="AA5" s="415">
        <v>75</v>
      </c>
      <c r="AB5" s="415"/>
      <c r="AC5" s="415"/>
      <c r="AD5" s="371"/>
      <c r="AE5" s="371"/>
      <c r="AF5" s="371"/>
      <c r="AG5" s="371"/>
      <c r="AH5" s="371"/>
      <c r="AI5" s="371"/>
      <c r="AJ5" s="371"/>
      <c r="AK5" s="244">
        <f t="shared" si="0"/>
        <v>69.730769230769226</v>
      </c>
      <c r="AL5" s="244">
        <f t="shared" ref="AL5:AL9" si="1">IF(AK5&lt;5,5,AK5)</f>
        <v>69.730769230769226</v>
      </c>
      <c r="AM5" s="172">
        <f t="shared" ref="AM5:AM9" si="2">RANK(AL5,$AL$4:$AL$9)</f>
        <v>2</v>
      </c>
      <c r="AN5" s="231"/>
      <c r="AO5" s="231"/>
    </row>
    <row r="6" spans="1:41" ht="18">
      <c r="A6" s="346" t="s">
        <v>155</v>
      </c>
      <c r="B6" s="416">
        <v>87</v>
      </c>
      <c r="C6" s="416">
        <v>67</v>
      </c>
      <c r="D6" s="416">
        <v>86</v>
      </c>
      <c r="E6" s="416">
        <v>70</v>
      </c>
      <c r="F6" s="416">
        <v>71</v>
      </c>
      <c r="G6" s="416">
        <v>46</v>
      </c>
      <c r="H6" s="416">
        <v>80</v>
      </c>
      <c r="I6" s="416">
        <v>77.5</v>
      </c>
      <c r="J6" s="416">
        <v>95</v>
      </c>
      <c r="K6" s="416">
        <v>50</v>
      </c>
      <c r="L6" s="416">
        <v>53</v>
      </c>
      <c r="M6" s="416">
        <v>72</v>
      </c>
      <c r="N6" s="416">
        <v>63</v>
      </c>
      <c r="O6" s="416">
        <v>60</v>
      </c>
      <c r="P6" s="416">
        <v>70.5</v>
      </c>
      <c r="Q6" s="416">
        <v>45</v>
      </c>
      <c r="R6" s="416">
        <v>65</v>
      </c>
      <c r="S6" s="416">
        <v>75</v>
      </c>
      <c r="T6" s="416">
        <v>82</v>
      </c>
      <c r="U6" s="416">
        <v>77.5</v>
      </c>
      <c r="V6" s="416">
        <v>81</v>
      </c>
      <c r="W6" s="416">
        <v>90</v>
      </c>
      <c r="X6" s="416">
        <v>67</v>
      </c>
      <c r="Y6" s="416">
        <v>63</v>
      </c>
      <c r="Z6" s="416">
        <v>45</v>
      </c>
      <c r="AA6" s="416">
        <v>62.5</v>
      </c>
      <c r="AB6" s="416">
        <v>65.5</v>
      </c>
      <c r="AC6" s="416"/>
      <c r="AD6" s="372"/>
      <c r="AE6" s="372"/>
      <c r="AF6" s="372"/>
      <c r="AG6" s="372"/>
      <c r="AH6" s="372"/>
      <c r="AI6" s="372"/>
      <c r="AJ6" s="372"/>
      <c r="AK6" s="244">
        <f t="shared" si="0"/>
        <v>69.129629629629633</v>
      </c>
      <c r="AL6" s="244">
        <f t="shared" si="1"/>
        <v>69.129629629629633</v>
      </c>
      <c r="AM6" s="172">
        <f t="shared" si="2"/>
        <v>3</v>
      </c>
    </row>
    <row r="7" spans="1:41" ht="18">
      <c r="A7" s="346" t="s">
        <v>156</v>
      </c>
      <c r="B7" s="416">
        <v>85</v>
      </c>
      <c r="C7" s="416">
        <v>76</v>
      </c>
      <c r="D7" s="416">
        <v>70</v>
      </c>
      <c r="E7" s="416">
        <v>61</v>
      </c>
      <c r="F7" s="416">
        <v>74</v>
      </c>
      <c r="G7" s="416">
        <v>58</v>
      </c>
      <c r="H7" s="416">
        <v>80</v>
      </c>
      <c r="I7" s="416">
        <v>62.5</v>
      </c>
      <c r="J7" s="416">
        <v>85</v>
      </c>
      <c r="K7" s="416">
        <v>45</v>
      </c>
      <c r="L7" s="416">
        <v>64</v>
      </c>
      <c r="M7" s="416">
        <v>71</v>
      </c>
      <c r="N7" s="416">
        <v>71</v>
      </c>
      <c r="O7" s="416">
        <v>70</v>
      </c>
      <c r="P7" s="416">
        <v>61.5</v>
      </c>
      <c r="Q7" s="416">
        <v>57.5</v>
      </c>
      <c r="R7" s="416">
        <v>38</v>
      </c>
      <c r="S7" s="416">
        <v>71</v>
      </c>
      <c r="T7" s="416">
        <v>70</v>
      </c>
      <c r="U7" s="416">
        <v>72.5</v>
      </c>
      <c r="V7" s="416">
        <v>68</v>
      </c>
      <c r="W7" s="416">
        <v>85</v>
      </c>
      <c r="X7" s="416">
        <v>66</v>
      </c>
      <c r="Y7" s="416">
        <v>74</v>
      </c>
      <c r="Z7" s="416">
        <v>45</v>
      </c>
      <c r="AA7" s="416">
        <v>85</v>
      </c>
      <c r="AB7" s="416"/>
      <c r="AC7" s="416"/>
      <c r="AD7" s="372"/>
      <c r="AE7" s="372"/>
      <c r="AF7" s="370"/>
      <c r="AG7" s="372"/>
      <c r="AH7" s="372"/>
      <c r="AI7" s="372"/>
      <c r="AJ7" s="372"/>
      <c r="AK7" s="244">
        <f t="shared" si="0"/>
        <v>67.92307692307692</v>
      </c>
      <c r="AL7" s="244">
        <f t="shared" si="1"/>
        <v>67.92307692307692</v>
      </c>
      <c r="AM7" s="172">
        <f t="shared" si="2"/>
        <v>4</v>
      </c>
    </row>
    <row r="8" spans="1:41" ht="18">
      <c r="A8" s="346" t="s">
        <v>157</v>
      </c>
      <c r="B8" s="416">
        <v>82</v>
      </c>
      <c r="C8" s="416">
        <v>68</v>
      </c>
      <c r="D8" s="416">
        <v>60</v>
      </c>
      <c r="E8" s="416">
        <v>49</v>
      </c>
      <c r="F8" s="416">
        <v>47</v>
      </c>
      <c r="G8" s="416">
        <v>72</v>
      </c>
      <c r="H8" s="416">
        <v>60</v>
      </c>
      <c r="I8" s="416">
        <v>62.5</v>
      </c>
      <c r="J8" s="416">
        <v>65</v>
      </c>
      <c r="K8" s="416">
        <v>42</v>
      </c>
      <c r="L8" s="416">
        <v>51</v>
      </c>
      <c r="M8" s="416">
        <v>60.5</v>
      </c>
      <c r="N8" s="416">
        <v>72.5</v>
      </c>
      <c r="O8" s="416">
        <v>65</v>
      </c>
      <c r="P8" s="416">
        <v>50.5</v>
      </c>
      <c r="Q8" s="416">
        <v>57.5</v>
      </c>
      <c r="R8" s="416">
        <v>52</v>
      </c>
      <c r="S8" s="416">
        <v>53</v>
      </c>
      <c r="T8" s="416">
        <v>61</v>
      </c>
      <c r="U8" s="416">
        <v>57.5</v>
      </c>
      <c r="V8" s="416"/>
      <c r="W8" s="416">
        <v>75</v>
      </c>
      <c r="X8" s="416">
        <v>43</v>
      </c>
      <c r="Y8" s="416">
        <v>45</v>
      </c>
      <c r="Z8" s="416">
        <v>35</v>
      </c>
      <c r="AA8" s="416">
        <v>50</v>
      </c>
      <c r="AB8" s="416">
        <v>68</v>
      </c>
      <c r="AC8" s="416"/>
      <c r="AD8" s="372"/>
      <c r="AE8" s="372"/>
      <c r="AF8" s="372"/>
      <c r="AG8" s="372"/>
      <c r="AH8" s="372"/>
      <c r="AI8" s="372"/>
      <c r="AJ8" s="372"/>
      <c r="AK8" s="244">
        <f t="shared" si="0"/>
        <v>57.846153846153847</v>
      </c>
      <c r="AL8" s="244">
        <f t="shared" si="1"/>
        <v>57.846153846153847</v>
      </c>
      <c r="AM8" s="172">
        <f t="shared" si="2"/>
        <v>5</v>
      </c>
    </row>
    <row r="9" spans="1:41" ht="18">
      <c r="A9" s="346" t="s">
        <v>158</v>
      </c>
      <c r="B9" s="416"/>
      <c r="C9" s="416">
        <v>70</v>
      </c>
      <c r="D9" s="416">
        <v>87</v>
      </c>
      <c r="E9" s="416">
        <v>81</v>
      </c>
      <c r="F9" s="416">
        <v>85</v>
      </c>
      <c r="G9" s="416">
        <v>64</v>
      </c>
      <c r="H9" s="416">
        <v>72.5</v>
      </c>
      <c r="I9" s="416">
        <v>85</v>
      </c>
      <c r="J9" s="416">
        <v>95</v>
      </c>
      <c r="K9" s="416">
        <v>54</v>
      </c>
      <c r="L9" s="416">
        <v>69</v>
      </c>
      <c r="M9" s="416">
        <v>62</v>
      </c>
      <c r="N9" s="416">
        <v>92</v>
      </c>
      <c r="O9" s="416">
        <v>90</v>
      </c>
      <c r="P9" s="416">
        <v>78.5</v>
      </c>
      <c r="Q9" s="416">
        <v>65</v>
      </c>
      <c r="R9" s="416">
        <v>53</v>
      </c>
      <c r="S9" s="416">
        <v>69</v>
      </c>
      <c r="T9" s="416">
        <v>81</v>
      </c>
      <c r="U9" s="416">
        <v>82.5</v>
      </c>
      <c r="V9" s="416">
        <v>85</v>
      </c>
      <c r="W9" s="416">
        <v>80</v>
      </c>
      <c r="X9" s="416">
        <v>57</v>
      </c>
      <c r="Y9" s="416">
        <v>80</v>
      </c>
      <c r="Z9" s="416">
        <v>70</v>
      </c>
      <c r="AA9" s="416">
        <v>57.5</v>
      </c>
      <c r="AB9" s="416">
        <v>66.5</v>
      </c>
      <c r="AC9" s="416">
        <v>82</v>
      </c>
      <c r="AD9" s="372"/>
      <c r="AE9" s="372"/>
      <c r="AF9" s="372"/>
      <c r="AG9" s="372"/>
      <c r="AH9" s="372"/>
      <c r="AI9" s="372"/>
      <c r="AJ9" s="372"/>
      <c r="AK9" s="244">
        <f t="shared" si="0"/>
        <v>74.574074074074076</v>
      </c>
      <c r="AL9" s="244">
        <f t="shared" si="1"/>
        <v>74.574074074074076</v>
      </c>
      <c r="AM9" s="172">
        <f t="shared" si="2"/>
        <v>1</v>
      </c>
    </row>
    <row r="10" spans="1:41">
      <c r="Z10" s="154"/>
    </row>
    <row r="12" spans="1:41" ht="12.75" customHeight="1">
      <c r="B12" s="454"/>
      <c r="C12" s="454"/>
      <c r="D12" s="454"/>
      <c r="E12" s="453"/>
      <c r="F12" s="453"/>
      <c r="G12" s="453"/>
      <c r="H12" s="453"/>
      <c r="I12" s="453"/>
      <c r="J12" s="453"/>
      <c r="K12" s="453"/>
      <c r="L12" s="455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4"/>
    </row>
    <row r="13" spans="1:41"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5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</row>
    <row r="14" spans="1:41"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5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</row>
    <row r="15" spans="1:41"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5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4"/>
      <c r="AD15" s="454"/>
    </row>
    <row r="16" spans="1:41"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5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</row>
    <row r="17" spans="2:30"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5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</row>
    <row r="18" spans="2:30"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5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</row>
    <row r="19" spans="2:30"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5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  <c r="AD19" s="454"/>
    </row>
    <row r="20" spans="2:30"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5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  <c r="AD20" s="454"/>
    </row>
    <row r="21" spans="2:30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5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</row>
    <row r="22" spans="2:30"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5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</row>
  </sheetData>
  <mergeCells count="29">
    <mergeCell ref="M12:M22"/>
    <mergeCell ref="B12:B22"/>
    <mergeCell ref="C12:C22"/>
    <mergeCell ref="D12:D22"/>
    <mergeCell ref="E12:E22"/>
    <mergeCell ref="F12:F22"/>
    <mergeCell ref="G12:G22"/>
    <mergeCell ref="H12:H22"/>
    <mergeCell ref="I12:I22"/>
    <mergeCell ref="J12:J22"/>
    <mergeCell ref="K12:K22"/>
    <mergeCell ref="L12:L22"/>
    <mergeCell ref="Y12:Y22"/>
    <mergeCell ref="N12:N22"/>
    <mergeCell ref="O12:O22"/>
    <mergeCell ref="P12:P22"/>
    <mergeCell ref="Q12:Q22"/>
    <mergeCell ref="R12:R22"/>
    <mergeCell ref="S12:S22"/>
    <mergeCell ref="T12:T22"/>
    <mergeCell ref="U12:U22"/>
    <mergeCell ref="V12:V22"/>
    <mergeCell ref="W12:W22"/>
    <mergeCell ref="X12:X22"/>
    <mergeCell ref="Z12:Z22"/>
    <mergeCell ref="AA12:AA22"/>
    <mergeCell ref="AB12:AB22"/>
    <mergeCell ref="AC12:AC22"/>
    <mergeCell ref="AD12:AD22"/>
  </mergeCells>
  <phoneticPr fontId="19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8"/>
  <sheetViews>
    <sheetView workbookViewId="0">
      <selection activeCell="E6" sqref="E6"/>
    </sheetView>
  </sheetViews>
  <sheetFormatPr defaultColWidth="8.88671875" defaultRowHeight="13.2"/>
  <cols>
    <col min="1" max="1" width="50.1093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10" ht="17.399999999999999">
      <c r="A1" s="329" t="s">
        <v>196</v>
      </c>
      <c r="B1" s="8"/>
      <c r="C1" s="6"/>
      <c r="D1" s="9"/>
      <c r="E1" s="60"/>
      <c r="F1" s="177"/>
      <c r="G1" s="6"/>
      <c r="H1" s="6"/>
    </row>
    <row r="2" spans="1:10" s="58" customFormat="1" ht="12.75" customHeight="1">
      <c r="A2" s="177"/>
      <c r="B2" s="177"/>
      <c r="C2" s="177"/>
      <c r="D2" s="373" t="s">
        <v>14</v>
      </c>
      <c r="E2" s="374">
        <f>MIN(D5:D6)</f>
        <v>11.84</v>
      </c>
      <c r="F2" s="177" t="s">
        <v>15</v>
      </c>
      <c r="G2" s="177"/>
      <c r="H2" s="177"/>
    </row>
    <row r="3" spans="1:10">
      <c r="A3" s="155"/>
      <c r="B3" s="11"/>
      <c r="C3" s="12"/>
      <c r="D3" s="146" t="s">
        <v>65</v>
      </c>
      <c r="E3" s="374">
        <f>MAX(D6:D7)</f>
        <v>24.35</v>
      </c>
      <c r="F3" s="177" t="s">
        <v>15</v>
      </c>
      <c r="G3" s="6"/>
    </row>
    <row r="4" spans="1:10" ht="27" customHeight="1">
      <c r="A4" s="10"/>
      <c r="B4" s="35" t="s">
        <v>27</v>
      </c>
      <c r="C4" s="35" t="s">
        <v>28</v>
      </c>
      <c r="D4" s="35" t="s">
        <v>31</v>
      </c>
      <c r="E4" s="32" t="s">
        <v>8</v>
      </c>
      <c r="F4" s="5" t="s">
        <v>23</v>
      </c>
      <c r="G4" s="430" t="s">
        <v>197</v>
      </c>
      <c r="H4" s="430" t="s">
        <v>198</v>
      </c>
      <c r="I4" s="431" t="s">
        <v>199</v>
      </c>
      <c r="J4" s="5" t="s">
        <v>23</v>
      </c>
    </row>
    <row r="5" spans="1:10" ht="18">
      <c r="A5" s="346" t="s">
        <v>153</v>
      </c>
      <c r="B5" s="330">
        <v>11.84</v>
      </c>
      <c r="C5" s="330">
        <v>12.3</v>
      </c>
      <c r="D5" s="179">
        <f t="shared" ref="D5:D8" si="0">MIN(B5:C5)</f>
        <v>11.84</v>
      </c>
      <c r="E5" s="180">
        <f>IF(D5&gt;=$D$7,2.5,(-$D$14*D5+$D$15))</f>
        <v>50.000000000000007</v>
      </c>
      <c r="F5" s="5">
        <f>RANK(E5,$E$5:$E$10)</f>
        <v>1</v>
      </c>
      <c r="G5" s="432">
        <v>21</v>
      </c>
      <c r="H5" s="433">
        <v>12</v>
      </c>
      <c r="I5" s="434">
        <f t="shared" ref="I5:I8" si="1">MIN(G5:H5)</f>
        <v>12</v>
      </c>
      <c r="J5" s="5">
        <f>RANK(I5,$I$5:$I$10)</f>
        <v>2</v>
      </c>
    </row>
    <row r="6" spans="1:10" ht="18">
      <c r="A6" s="346" t="s">
        <v>154</v>
      </c>
      <c r="B6" s="330">
        <v>15.44</v>
      </c>
      <c r="C6" s="330">
        <v>18.920000000000002</v>
      </c>
      <c r="D6" s="179">
        <f t="shared" si="0"/>
        <v>15.44</v>
      </c>
      <c r="E6" s="180">
        <f t="shared" ref="E6:E8" si="2">IF(D6&gt;=$D$7,2.5,(-$D$14*D6+$D$15))</f>
        <v>35.611510791366918</v>
      </c>
      <c r="F6" s="5">
        <f t="shared" ref="F6:F8" si="3">RANK(E6,$E$5:$E$10)</f>
        <v>3</v>
      </c>
      <c r="G6" s="432">
        <v>23</v>
      </c>
      <c r="H6" s="433">
        <v>23</v>
      </c>
      <c r="I6" s="434">
        <f t="shared" si="1"/>
        <v>23</v>
      </c>
      <c r="J6" s="5">
        <f>RANK(I6,$I$5:$I$10)</f>
        <v>1</v>
      </c>
    </row>
    <row r="7" spans="1:10" ht="18">
      <c r="A7" s="346" t="s">
        <v>155</v>
      </c>
      <c r="B7" s="330">
        <v>24.35</v>
      </c>
      <c r="C7" s="330"/>
      <c r="D7" s="179">
        <f t="shared" si="0"/>
        <v>24.35</v>
      </c>
      <c r="E7" s="180">
        <f t="shared" si="2"/>
        <v>2.5</v>
      </c>
      <c r="F7" s="5">
        <f t="shared" si="3"/>
        <v>4</v>
      </c>
      <c r="G7" s="432">
        <v>11</v>
      </c>
      <c r="H7" s="433"/>
      <c r="I7" s="434">
        <f t="shared" si="1"/>
        <v>11</v>
      </c>
      <c r="J7" s="5">
        <f t="shared" ref="J7:J8" si="4">RANK(I7,$I$5:$I$10)</f>
        <v>4</v>
      </c>
    </row>
    <row r="8" spans="1:10" ht="18">
      <c r="A8" s="346" t="s">
        <v>156</v>
      </c>
      <c r="B8" s="330">
        <v>12.53</v>
      </c>
      <c r="C8" s="330">
        <v>12.66</v>
      </c>
      <c r="D8" s="179">
        <f t="shared" si="0"/>
        <v>12.53</v>
      </c>
      <c r="E8" s="180">
        <f t="shared" si="2"/>
        <v>47.242206235011999</v>
      </c>
      <c r="F8" s="5">
        <f t="shared" si="3"/>
        <v>2</v>
      </c>
      <c r="G8" s="432">
        <v>12</v>
      </c>
      <c r="H8" s="435">
        <v>15</v>
      </c>
      <c r="I8" s="434">
        <f t="shared" si="1"/>
        <v>12</v>
      </c>
      <c r="J8" s="5">
        <f t="shared" si="4"/>
        <v>2</v>
      </c>
    </row>
    <row r="9" spans="1:10" ht="18">
      <c r="A9" s="346" t="s">
        <v>157</v>
      </c>
      <c r="B9" s="330"/>
      <c r="C9" s="330"/>
      <c r="D9" s="179"/>
      <c r="E9" s="180"/>
      <c r="F9" s="5"/>
      <c r="G9" s="432"/>
      <c r="H9" s="433"/>
      <c r="I9" s="434"/>
      <c r="J9" s="5"/>
    </row>
    <row r="10" spans="1:10" ht="18">
      <c r="A10" s="346" t="s">
        <v>158</v>
      </c>
      <c r="B10" s="330"/>
      <c r="C10" s="330"/>
      <c r="D10" s="179"/>
      <c r="E10" s="180"/>
      <c r="F10" s="5"/>
      <c r="G10" s="432"/>
      <c r="H10" s="433"/>
      <c r="I10" s="434"/>
      <c r="J10" s="5"/>
    </row>
    <row r="11" spans="1:10">
      <c r="A11" s="23"/>
      <c r="B11" s="50"/>
      <c r="C11" s="50"/>
      <c r="D11" s="50"/>
      <c r="E11" s="17"/>
      <c r="F11" s="17"/>
      <c r="G11" s="436"/>
      <c r="H11" s="64"/>
      <c r="I11" s="434"/>
      <c r="J11" s="5"/>
    </row>
    <row r="12" spans="1:10">
      <c r="A12" s="23"/>
      <c r="B12" s="50"/>
      <c r="C12" s="115"/>
      <c r="D12" s="50"/>
      <c r="E12" s="17"/>
      <c r="F12" s="17"/>
      <c r="G12" s="67"/>
      <c r="H12" s="54"/>
    </row>
    <row r="13" spans="1:10">
      <c r="A13" s="23"/>
      <c r="B13" s="50"/>
      <c r="C13" s="187" t="s">
        <v>119</v>
      </c>
      <c r="D13" s="50"/>
      <c r="E13" s="17"/>
      <c r="F13" s="17"/>
      <c r="G13" s="17"/>
      <c r="H13" s="3"/>
    </row>
    <row r="14" spans="1:10">
      <c r="A14" s="23"/>
      <c r="B14" s="50"/>
      <c r="C14" s="229" t="s">
        <v>116</v>
      </c>
      <c r="D14" s="227">
        <f>50/(E3-E2)</f>
        <v>3.9968025579536364</v>
      </c>
      <c r="E14" s="17"/>
      <c r="F14" s="17"/>
      <c r="G14" s="17"/>
      <c r="H14" s="3"/>
    </row>
    <row r="15" spans="1:10">
      <c r="A15" s="23"/>
      <c r="B15" s="50"/>
      <c r="C15" s="229" t="s">
        <v>117</v>
      </c>
      <c r="D15" s="228">
        <f>D14*E3</f>
        <v>97.322142286171058</v>
      </c>
      <c r="E15" s="17"/>
      <c r="F15" s="17"/>
      <c r="G15" s="17"/>
      <c r="H15" s="3"/>
    </row>
    <row r="16" spans="1:10">
      <c r="A16" s="23"/>
      <c r="C16" s="187" t="s">
        <v>150</v>
      </c>
      <c r="D16" s="50"/>
      <c r="E16" s="17"/>
      <c r="F16" s="17"/>
      <c r="G16" s="17"/>
      <c r="H16" s="3"/>
    </row>
    <row r="17" spans="1:8">
      <c r="A17" s="23"/>
      <c r="B17" s="50"/>
      <c r="C17" s="50"/>
      <c r="D17" s="50"/>
      <c r="E17" s="17"/>
      <c r="F17" s="17"/>
      <c r="G17" s="17"/>
      <c r="H17" s="3"/>
    </row>
    <row r="18" spans="1:8">
      <c r="A18" s="23"/>
      <c r="B18" s="50"/>
      <c r="C18" s="50"/>
      <c r="D18" s="50"/>
      <c r="E18" s="17"/>
      <c r="F18" s="17"/>
      <c r="G18" s="17"/>
      <c r="H18" s="3"/>
    </row>
    <row r="19" spans="1:8">
      <c r="A19" s="12"/>
      <c r="B19" s="50"/>
      <c r="C19" s="50"/>
      <c r="D19" s="50"/>
      <c r="E19" s="17"/>
      <c r="F19" s="17"/>
      <c r="G19" s="17"/>
      <c r="H19" s="6"/>
    </row>
    <row r="20" spans="1:8">
      <c r="A20" s="12"/>
      <c r="B20" s="50"/>
      <c r="C20" s="50"/>
      <c r="D20" s="50"/>
      <c r="E20" s="17"/>
      <c r="F20" s="17"/>
      <c r="G20" s="17"/>
      <c r="H20" s="6"/>
    </row>
    <row r="21" spans="1:8">
      <c r="A21" s="12"/>
      <c r="B21" s="50"/>
      <c r="C21" s="50"/>
      <c r="D21" s="50"/>
      <c r="E21" s="17"/>
      <c r="F21" s="17"/>
      <c r="G21" s="17"/>
      <c r="H21" s="6"/>
    </row>
    <row r="22" spans="1:8">
      <c r="A22" s="45"/>
      <c r="B22" s="12"/>
      <c r="C22" s="12"/>
      <c r="D22" s="12"/>
      <c r="E22" s="6"/>
      <c r="F22" s="6"/>
      <c r="G22" s="6"/>
      <c r="H22" s="6"/>
    </row>
    <row r="23" spans="1:8">
      <c r="B23" s="4"/>
      <c r="C23" s="4"/>
      <c r="D23" s="4"/>
    </row>
    <row r="24" spans="1:8">
      <c r="B24" s="4"/>
      <c r="C24" s="4"/>
      <c r="D24" s="4"/>
    </row>
    <row r="25" spans="1:8">
      <c r="B25" s="4"/>
      <c r="C25" s="4"/>
      <c r="D25" s="4"/>
    </row>
    <row r="26" spans="1:8">
      <c r="B26" s="4"/>
      <c r="C26" s="4"/>
      <c r="D26" s="4"/>
    </row>
    <row r="27" spans="1:8">
      <c r="B27" s="4"/>
      <c r="C27" s="4"/>
      <c r="D27" s="4"/>
    </row>
    <row r="28" spans="1:8">
      <c r="B28" s="4"/>
      <c r="C28" s="4"/>
      <c r="D28" s="4"/>
    </row>
    <row r="29" spans="1:8">
      <c r="B29" s="4"/>
      <c r="C29" s="4"/>
      <c r="D29" s="4"/>
    </row>
    <row r="30" spans="1:8">
      <c r="B30" s="4"/>
      <c r="C30" s="4"/>
      <c r="D30" s="4"/>
    </row>
    <row r="31" spans="1:8">
      <c r="B31" s="4"/>
      <c r="C31" s="4"/>
      <c r="D31" s="4"/>
    </row>
    <row r="32" spans="1:8">
      <c r="B32" s="4"/>
      <c r="C32" s="4"/>
      <c r="D32" s="4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</sheetData>
  <phoneticPr fontId="19" type="noConversion"/>
  <printOptions gridLines="1"/>
  <pageMargins left="0.75" right="0.75" top="0.5" bottom="0.5" header="0.5" footer="0.5"/>
  <pageSetup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Drawbar Pull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2017-03-11T16:07:58Z</cp:lastPrinted>
  <dcterms:created xsi:type="dcterms:W3CDTF">2000-03-12T02:15:03Z</dcterms:created>
  <dcterms:modified xsi:type="dcterms:W3CDTF">2017-03-22T18:23:22Z</dcterms:modified>
</cp:coreProperties>
</file>