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-12" yWindow="3732" windowWidth="17328" windowHeight="3780" tabRatio="778"/>
  </bookViews>
  <sheets>
    <sheet name="Totals and Awards" sheetId="13" r:id="rId1"/>
    <sheet name="Paper" sheetId="1" r:id="rId2"/>
    <sheet name="Static" sheetId="2" r:id="rId3"/>
    <sheet name="MSRP" sheetId="3" r:id="rId4"/>
    <sheet name="Subjective Handling " sheetId="14" r:id="rId5"/>
    <sheet name="Fuel Economy-Endurance  " sheetId="4" r:id="rId6"/>
    <sheet name="Noise" sheetId="6" r:id="rId7"/>
    <sheet name="Oral" sheetId="5" r:id="rId8"/>
    <sheet name="Acceleration" sheetId="7" r:id="rId9"/>
    <sheet name="Lab Emissions" sheetId="18" r:id="rId10"/>
    <sheet name="In Service Emissions" sheetId="19" r:id="rId11"/>
    <sheet name="Cold Start" sheetId="10" r:id="rId12"/>
    <sheet name="Objective Handling" sheetId="11" r:id="rId13"/>
    <sheet name="Penalties and Bonuses" sheetId="12" r:id="rId14"/>
    <sheet name="Vehicle Weights" sheetId="15" r:id="rId15"/>
  </sheets>
  <definedNames>
    <definedName name="Bmax">'Lab Emissions'!$N$19</definedName>
    <definedName name="Bmin">'Lab Emissions'!$N$18</definedName>
    <definedName name="Emax">'Lab Emissions'!$J$19</definedName>
    <definedName name="Emin">'Lab Emissions'!$J$18</definedName>
    <definedName name="_xlnm.Print_Area" localSheetId="0">'Totals and Awards'!$A$1:$O$59</definedName>
  </definedNames>
  <calcPr calcId="125725"/>
</workbook>
</file>

<file path=xl/calcChain.xml><?xml version="1.0" encoding="utf-8"?>
<calcChain xmlns="http://schemas.openxmlformats.org/spreadsheetml/2006/main">
  <c r="B59" i="13"/>
  <c r="B58"/>
  <c r="H57"/>
  <c r="F57"/>
  <c r="B57"/>
  <c r="B55"/>
  <c r="B50"/>
  <c r="B46"/>
  <c r="B39"/>
  <c r="B42"/>
  <c r="C7" i="19" l="1"/>
  <c r="C8"/>
  <c r="C9"/>
  <c r="C10"/>
  <c r="C11"/>
  <c r="C12"/>
  <c r="C13"/>
  <c r="C14"/>
  <c r="C16"/>
  <c r="C18"/>
  <c r="C6"/>
  <c r="B45" i="13" l="1"/>
  <c r="B44"/>
  <c r="B41"/>
  <c r="B40"/>
  <c r="B38"/>
  <c r="B37"/>
  <c r="B43"/>
  <c r="Q16" i="14" l="1"/>
  <c r="Q15"/>
  <c r="R15" s="1"/>
  <c r="Q14"/>
  <c r="R14" s="1"/>
  <c r="Q12"/>
  <c r="R12" s="1"/>
  <c r="Q11"/>
  <c r="R11" s="1"/>
  <c r="S11" s="1"/>
  <c r="Q10"/>
  <c r="Q9"/>
  <c r="Q8"/>
  <c r="Q7"/>
  <c r="R7" s="1"/>
  <c r="Q6"/>
  <c r="R6" s="1"/>
  <c r="Q5"/>
  <c r="R5" s="1"/>
  <c r="Q4"/>
  <c r="R4" s="1"/>
  <c r="R16"/>
  <c r="R10"/>
  <c r="R9"/>
  <c r="R8"/>
  <c r="S10" l="1"/>
  <c r="S12"/>
  <c r="S5"/>
  <c r="S14"/>
  <c r="S15"/>
  <c r="S7"/>
  <c r="S16"/>
  <c r="S9"/>
  <c r="S8"/>
  <c r="S13"/>
  <c r="S4"/>
  <c r="S6"/>
  <c r="P16" i="18" l="1"/>
  <c r="P15"/>
  <c r="E18" i="6" l="1"/>
  <c r="E19"/>
  <c r="E20" s="1"/>
  <c r="E21" s="1"/>
  <c r="E12" i="4" l="1"/>
  <c r="F12" s="1"/>
  <c r="E14"/>
  <c r="F14"/>
  <c r="E15"/>
  <c r="F15" s="1"/>
  <c r="E16"/>
  <c r="F16"/>
  <c r="E20"/>
  <c r="F20" s="1"/>
  <c r="E22"/>
  <c r="F22"/>
  <c r="AK16" i="5" l="1"/>
  <c r="AL16" s="1"/>
  <c r="AK15"/>
  <c r="AL15" s="1"/>
  <c r="AK14"/>
  <c r="AL14" s="1"/>
  <c r="AK13"/>
  <c r="AL13" s="1"/>
  <c r="AK12"/>
  <c r="AL12" s="1"/>
  <c r="AL11"/>
  <c r="AK11"/>
  <c r="AK10"/>
  <c r="AL10" s="1"/>
  <c r="AL9"/>
  <c r="AK9"/>
  <c r="AK8"/>
  <c r="AL8" s="1"/>
  <c r="AK7"/>
  <c r="AL7" s="1"/>
  <c r="AK6"/>
  <c r="AL6" s="1"/>
  <c r="AK5"/>
  <c r="AL5" s="1"/>
  <c r="AK4"/>
  <c r="AL4" s="1"/>
  <c r="AM4" l="1"/>
  <c r="AM10"/>
  <c r="AM5"/>
  <c r="AM11"/>
  <c r="AM6"/>
  <c r="AM12"/>
  <c r="AM8"/>
  <c r="AM14"/>
  <c r="AM13"/>
  <c r="AM15"/>
  <c r="AM7"/>
  <c r="AM9"/>
  <c r="AM16"/>
  <c r="D22" i="4" l="1"/>
  <c r="D20"/>
  <c r="D15"/>
  <c r="D16"/>
  <c r="D14"/>
  <c r="D12"/>
  <c r="J26" i="1" l="1"/>
  <c r="I26"/>
  <c r="H26"/>
  <c r="G26"/>
  <c r="F26"/>
  <c r="E26"/>
  <c r="D26"/>
  <c r="C26"/>
  <c r="C4" i="10" l="1"/>
  <c r="H18" i="19"/>
  <c r="H16"/>
  <c r="H14"/>
  <c r="H13"/>
  <c r="H12"/>
  <c r="H11"/>
  <c r="H10"/>
  <c r="H9"/>
  <c r="H8"/>
  <c r="H7"/>
  <c r="H6"/>
  <c r="P13" i="18" l="1"/>
  <c r="P10"/>
  <c r="P11"/>
  <c r="P8"/>
  <c r="N54" i="1" l="1"/>
  <c r="N55" s="1"/>
  <c r="B15" i="13" s="1"/>
  <c r="D8" i="11"/>
  <c r="D9"/>
  <c r="D10"/>
  <c r="D11"/>
  <c r="D12"/>
  <c r="D13"/>
  <c r="D14"/>
  <c r="D16"/>
  <c r="D17"/>
  <c r="P51" i="1"/>
  <c r="P52"/>
  <c r="A4" l="1"/>
  <c r="A5" s="1"/>
  <c r="A6" s="1"/>
  <c r="A7" s="1"/>
  <c r="A8" s="1"/>
  <c r="P7" i="18"/>
  <c r="P12"/>
  <c r="P5"/>
  <c r="C15" i="10"/>
  <c r="C7"/>
  <c r="A21" i="1" l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9"/>
  <c r="A10" s="1"/>
  <c r="A11" s="1"/>
  <c r="A12" s="1"/>
  <c r="A13" s="1"/>
  <c r="A14" s="1"/>
  <c r="A15" s="1"/>
  <c r="A16" s="1"/>
  <c r="A17" s="1"/>
  <c r="A18" s="1"/>
  <c r="A19" s="1"/>
  <c r="A20" s="1"/>
  <c r="E14" i="13"/>
  <c r="O57" i="1"/>
  <c r="O54"/>
  <c r="O55" s="1"/>
  <c r="B16" i="13" s="1"/>
  <c r="M57" i="1"/>
  <c r="M54"/>
  <c r="M55" s="1"/>
  <c r="B14" i="13" s="1"/>
  <c r="E14" i="15"/>
  <c r="E15"/>
  <c r="E16"/>
  <c r="C5" i="10"/>
  <c r="L5" i="13" s="1"/>
  <c r="C6" i="10"/>
  <c r="L6" i="13" s="1"/>
  <c r="C8" i="10"/>
  <c r="C9"/>
  <c r="L9" i="13" s="1"/>
  <c r="C10" i="10"/>
  <c r="C11"/>
  <c r="L11" i="13" s="1"/>
  <c r="C12" i="10"/>
  <c r="L12" i="13" s="1"/>
  <c r="C13" i="10"/>
  <c r="L13" i="13" s="1"/>
  <c r="C14" i="10"/>
  <c r="L14" i="13" s="1"/>
  <c r="C16" i="10"/>
  <c r="L16" i="13" s="1"/>
  <c r="J11"/>
  <c r="R5" i="18"/>
  <c r="D6" i="11"/>
  <c r="E3" s="1"/>
  <c r="C14" i="13"/>
  <c r="O5"/>
  <c r="O6"/>
  <c r="O7"/>
  <c r="O8"/>
  <c r="O9"/>
  <c r="O10"/>
  <c r="O11"/>
  <c r="O12"/>
  <c r="O13"/>
  <c r="O14"/>
  <c r="O15"/>
  <c r="O16"/>
  <c r="J5"/>
  <c r="J6"/>
  <c r="J7"/>
  <c r="J8"/>
  <c r="J9"/>
  <c r="J10"/>
  <c r="J12"/>
  <c r="J14"/>
  <c r="J15"/>
  <c r="J16"/>
  <c r="C16"/>
  <c r="N57" i="1"/>
  <c r="J5" i="12"/>
  <c r="N5" i="13" s="1"/>
  <c r="J6" i="12"/>
  <c r="N6" i="13" s="1"/>
  <c r="J7" i="12"/>
  <c r="N7" i="13" s="1"/>
  <c r="J8" i="12"/>
  <c r="N8" i="13" s="1"/>
  <c r="J9" i="12"/>
  <c r="N9" i="13" s="1"/>
  <c r="J10" i="12"/>
  <c r="N10" i="13" s="1"/>
  <c r="J11" i="12"/>
  <c r="N11" i="13" s="1"/>
  <c r="J12" i="12"/>
  <c r="N12" i="13" s="1"/>
  <c r="J13" i="12"/>
  <c r="N13" i="13" s="1"/>
  <c r="J14" i="12"/>
  <c r="N14" i="13" s="1"/>
  <c r="J15" i="12"/>
  <c r="N15" i="13" s="1"/>
  <c r="J16" i="12"/>
  <c r="N16" i="13" s="1"/>
  <c r="L15"/>
  <c r="L7"/>
  <c r="R15" i="18"/>
  <c r="R16"/>
  <c r="R17"/>
  <c r="R8"/>
  <c r="G15" i="13"/>
  <c r="E8"/>
  <c r="E9"/>
  <c r="E10"/>
  <c r="B27" i="3"/>
  <c r="B26"/>
  <c r="B24" s="1"/>
  <c r="F2" i="19"/>
  <c r="L10" i="13"/>
  <c r="L8"/>
  <c r="E5" i="15"/>
  <c r="E6"/>
  <c r="E7"/>
  <c r="E8"/>
  <c r="E9"/>
  <c r="E10"/>
  <c r="E11"/>
  <c r="E12"/>
  <c r="E13"/>
  <c r="E4"/>
  <c r="D57" i="1"/>
  <c r="E57"/>
  <c r="F57"/>
  <c r="G57"/>
  <c r="H57"/>
  <c r="I57"/>
  <c r="J57"/>
  <c r="K57"/>
  <c r="L57"/>
  <c r="C57"/>
  <c r="P46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7"/>
  <c r="P48"/>
  <c r="P49"/>
  <c r="P50"/>
  <c r="B27" i="6"/>
  <c r="E6" i="13"/>
  <c r="E11"/>
  <c r="C12"/>
  <c r="C9"/>
  <c r="C4"/>
  <c r="C5"/>
  <c r="C6"/>
  <c r="C7"/>
  <c r="C8"/>
  <c r="C10"/>
  <c r="C11"/>
  <c r="C13"/>
  <c r="C15"/>
  <c r="P3" i="1"/>
  <c r="G7" i="13"/>
  <c r="E3" i="4"/>
  <c r="E2"/>
  <c r="O4" i="13"/>
  <c r="F1" i="19"/>
  <c r="L4" i="13"/>
  <c r="J4" i="12"/>
  <c r="N4" i="13" s="1"/>
  <c r="R13" i="18"/>
  <c r="R12"/>
  <c r="R10"/>
  <c r="R11"/>
  <c r="R14"/>
  <c r="J13" i="13"/>
  <c r="R6" i="18"/>
  <c r="J4" i="13"/>
  <c r="R7" i="18"/>
  <c r="R9"/>
  <c r="E4" i="13"/>
  <c r="I54" i="1"/>
  <c r="I55" s="1"/>
  <c r="B10" i="13" s="1"/>
  <c r="E54" i="1"/>
  <c r="E55" s="1"/>
  <c r="B6" i="13" s="1"/>
  <c r="F54" i="1"/>
  <c r="F55" s="1"/>
  <c r="B7" i="13" s="1"/>
  <c r="C54" i="1"/>
  <c r="C55" s="1"/>
  <c r="B4" i="13" s="1"/>
  <c r="G54" i="1"/>
  <c r="G55" s="1"/>
  <c r="B8" i="13" s="1"/>
  <c r="L54" i="1"/>
  <c r="L55" s="1"/>
  <c r="B13" i="13" s="1"/>
  <c r="K54" i="1"/>
  <c r="K55" s="1"/>
  <c r="B12" i="13" s="1"/>
  <c r="J54" i="1"/>
  <c r="J55" s="1"/>
  <c r="B11" i="13" s="1"/>
  <c r="D54" i="1"/>
  <c r="D55" s="1"/>
  <c r="B5" i="13" s="1"/>
  <c r="H54" i="1"/>
  <c r="H55" s="1"/>
  <c r="B9" i="13" s="1"/>
  <c r="B21" i="19" l="1"/>
  <c r="B22" s="1"/>
  <c r="D16" s="1"/>
  <c r="C13" i="6"/>
  <c r="C15"/>
  <c r="C12"/>
  <c r="H13" i="15"/>
  <c r="E5" i="13"/>
  <c r="J1" i="19"/>
  <c r="B25" i="3"/>
  <c r="E17" s="1"/>
  <c r="L17" s="1"/>
  <c r="C27" i="6"/>
  <c r="C5"/>
  <c r="C6"/>
  <c r="N58" i="1"/>
  <c r="H9" i="15"/>
  <c r="H5"/>
  <c r="H6"/>
  <c r="H12"/>
  <c r="H8"/>
  <c r="H14"/>
  <c r="F2"/>
  <c r="H16"/>
  <c r="H10"/>
  <c r="H7"/>
  <c r="H15"/>
  <c r="J2" i="19"/>
  <c r="E2" i="7"/>
  <c r="D21" s="1"/>
  <c r="B28" i="6"/>
  <c r="E2" i="11"/>
  <c r="E22" s="1"/>
  <c r="E16" i="13"/>
  <c r="K58" i="1"/>
  <c r="E58"/>
  <c r="D58"/>
  <c r="L58"/>
  <c r="C58"/>
  <c r="H58"/>
  <c r="I58"/>
  <c r="G58"/>
  <c r="J58"/>
  <c r="F58"/>
  <c r="G4" i="13"/>
  <c r="G5"/>
  <c r="G8"/>
  <c r="G9"/>
  <c r="G10"/>
  <c r="G13"/>
  <c r="G11"/>
  <c r="G12"/>
  <c r="G16"/>
  <c r="G14"/>
  <c r="G6"/>
  <c r="E6" i="4"/>
  <c r="F1" i="15"/>
  <c r="H4"/>
  <c r="H11"/>
  <c r="E13" i="13"/>
  <c r="E15"/>
  <c r="E12"/>
  <c r="E7"/>
  <c r="O58" i="1"/>
  <c r="M58"/>
  <c r="F21" i="19" l="1"/>
  <c r="F22" s="1"/>
  <c r="I16" s="1"/>
  <c r="D9"/>
  <c r="D15"/>
  <c r="D18"/>
  <c r="D11"/>
  <c r="D14"/>
  <c r="D17"/>
  <c r="E7" i="4"/>
  <c r="E16" i="3"/>
  <c r="L16" s="1"/>
  <c r="D13" i="13" s="1"/>
  <c r="E18" i="3"/>
  <c r="L18" s="1"/>
  <c r="D15" i="13" s="1"/>
  <c r="E14" i="3"/>
  <c r="L14" s="1"/>
  <c r="D11" i="13" s="1"/>
  <c r="E11" i="3"/>
  <c r="L11" s="1"/>
  <c r="D8" i="13" s="1"/>
  <c r="E19" i="3"/>
  <c r="L19" s="1"/>
  <c r="D16" i="13" s="1"/>
  <c r="E10" i="3"/>
  <c r="L10" s="1"/>
  <c r="D7" i="13" s="1"/>
  <c r="E7" i="3"/>
  <c r="L7" s="1"/>
  <c r="D4" i="13" s="1"/>
  <c r="E15" i="3"/>
  <c r="L15" s="1"/>
  <c r="D12" i="13" s="1"/>
  <c r="E8" i="3"/>
  <c r="L8" s="1"/>
  <c r="D5" i="13" s="1"/>
  <c r="E13" i="3"/>
  <c r="L13" s="1"/>
  <c r="D10" i="13" s="1"/>
  <c r="E12" i="3"/>
  <c r="L12" s="1"/>
  <c r="D9" i="13" s="1"/>
  <c r="E9" i="3"/>
  <c r="L9" s="1"/>
  <c r="D6" i="13" s="1"/>
  <c r="E23" i="11"/>
  <c r="M15" i="13" s="1"/>
  <c r="B29" i="6"/>
  <c r="C28"/>
  <c r="D22" i="7"/>
  <c r="E5" s="1"/>
  <c r="D14" i="13"/>
  <c r="M18" i="3"/>
  <c r="M13"/>
  <c r="E12" i="11" l="1"/>
  <c r="M10" i="13" s="1"/>
  <c r="E10" i="11"/>
  <c r="M8" i="13" s="1"/>
  <c r="M5"/>
  <c r="E11" i="11"/>
  <c r="E8"/>
  <c r="M6" i="13" s="1"/>
  <c r="E16" i="11"/>
  <c r="M14" i="13" s="1"/>
  <c r="E13" i="11"/>
  <c r="M11" i="13" s="1"/>
  <c r="E6" i="11"/>
  <c r="M4" i="13" s="1"/>
  <c r="M16"/>
  <c r="E9" i="11"/>
  <c r="M7" i="13" s="1"/>
  <c r="M14" i="3"/>
  <c r="M10"/>
  <c r="M17"/>
  <c r="M15"/>
  <c r="M12"/>
  <c r="F11" i="13"/>
  <c r="F10"/>
  <c r="F16"/>
  <c r="M7" i="3"/>
  <c r="M11"/>
  <c r="M9"/>
  <c r="E14" i="11"/>
  <c r="M12" i="13" s="1"/>
  <c r="I7" i="19"/>
  <c r="K7" s="1"/>
  <c r="I18"/>
  <c r="K18" s="1"/>
  <c r="I13"/>
  <c r="K13" s="1"/>
  <c r="K15"/>
  <c r="I11"/>
  <c r="K11" s="1"/>
  <c r="I9"/>
  <c r="K9" s="1"/>
  <c r="F5" i="13"/>
  <c r="F13"/>
  <c r="M8" i="3"/>
  <c r="M19"/>
  <c r="M16"/>
  <c r="E16" i="7"/>
  <c r="K16" i="19"/>
  <c r="I6"/>
  <c r="I8"/>
  <c r="I10"/>
  <c r="I12"/>
  <c r="I14"/>
  <c r="E9" i="7"/>
  <c r="E15"/>
  <c r="E8"/>
  <c r="E13"/>
  <c r="E11"/>
  <c r="I10" i="13" s="1"/>
  <c r="E7" i="7"/>
  <c r="I6" i="13" s="1"/>
  <c r="E10" i="7"/>
  <c r="I9" i="13" s="1"/>
  <c r="E12" i="7"/>
  <c r="I11" i="13" s="1"/>
  <c r="I5"/>
  <c r="C29" i="6"/>
  <c r="B30"/>
  <c r="D10" i="19"/>
  <c r="I4" i="13"/>
  <c r="M13"/>
  <c r="D7" i="19"/>
  <c r="D13"/>
  <c r="D12"/>
  <c r="D8"/>
  <c r="F4" i="13"/>
  <c r="K14"/>
  <c r="D6" i="19"/>
  <c r="F21" i="13" l="1"/>
  <c r="F28"/>
  <c r="F22"/>
  <c r="F27"/>
  <c r="F11" i="11"/>
  <c r="M9" i="13"/>
  <c r="F12" i="11"/>
  <c r="F9"/>
  <c r="F13"/>
  <c r="F17"/>
  <c r="F6"/>
  <c r="F16"/>
  <c r="F8"/>
  <c r="F10"/>
  <c r="F14"/>
  <c r="F14" i="13"/>
  <c r="J18" i="19"/>
  <c r="F12" i="13"/>
  <c r="F8"/>
  <c r="F9"/>
  <c r="F6"/>
  <c r="F23" s="1"/>
  <c r="F15"/>
  <c r="F7"/>
  <c r="F12" i="7"/>
  <c r="K14" i="19"/>
  <c r="J14"/>
  <c r="K10"/>
  <c r="J10"/>
  <c r="K12"/>
  <c r="J12"/>
  <c r="K8"/>
  <c r="J8"/>
  <c r="J17"/>
  <c r="K17"/>
  <c r="K6"/>
  <c r="J6"/>
  <c r="J15"/>
  <c r="J13"/>
  <c r="J11"/>
  <c r="J9"/>
  <c r="J7"/>
  <c r="J16"/>
  <c r="I16" i="13"/>
  <c r="F33" s="1"/>
  <c r="F17" i="7"/>
  <c r="I15" i="13"/>
  <c r="F16" i="7"/>
  <c r="I7" i="13"/>
  <c r="F8" i="7"/>
  <c r="I13" i="13"/>
  <c r="F30" s="1"/>
  <c r="F14" i="7"/>
  <c r="F15"/>
  <c r="I14" i="13"/>
  <c r="I12"/>
  <c r="F13" i="7"/>
  <c r="C30" i="6"/>
  <c r="B31"/>
  <c r="F11" i="7"/>
  <c r="I8" i="13"/>
  <c r="F9" i="7"/>
  <c r="F5"/>
  <c r="F6"/>
  <c r="F7"/>
  <c r="F10"/>
  <c r="K7" i="13"/>
  <c r="K16"/>
  <c r="K15"/>
  <c r="K4"/>
  <c r="K9"/>
  <c r="K13"/>
  <c r="K8"/>
  <c r="K10"/>
  <c r="K5"/>
  <c r="K11"/>
  <c r="K12"/>
  <c r="K6"/>
  <c r="F26" l="1"/>
  <c r="F25"/>
  <c r="F24"/>
  <c r="F31"/>
  <c r="F32"/>
  <c r="F29"/>
  <c r="C31" i="6"/>
  <c r="B32"/>
  <c r="F35" i="13" l="1"/>
  <c r="B33" i="6"/>
  <c r="C32"/>
  <c r="C33" l="1"/>
  <c r="B34"/>
  <c r="C34" l="1"/>
  <c r="B35"/>
  <c r="B36" l="1"/>
  <c r="C35"/>
  <c r="C36" l="1"/>
  <c r="B37"/>
  <c r="C37" l="1"/>
  <c r="B38"/>
  <c r="C38" l="1"/>
  <c r="B39"/>
  <c r="C39" l="1"/>
  <c r="B40"/>
  <c r="C40" l="1"/>
  <c r="B41"/>
  <c r="B42" l="1"/>
  <c r="C41"/>
  <c r="C42" l="1"/>
  <c r="B43"/>
  <c r="C43" s="1"/>
  <c r="G14" l="1"/>
  <c r="G9"/>
  <c r="H8" i="13" s="1"/>
  <c r="F6" i="6"/>
  <c r="G6" s="1"/>
  <c r="H5" i="13" s="1"/>
  <c r="G16" i="6"/>
  <c r="H15" i="13" s="1"/>
  <c r="F13" i="6"/>
  <c r="G13" s="1"/>
  <c r="H12" i="13" s="1"/>
  <c r="F15" i="6"/>
  <c r="G15" s="1"/>
  <c r="H14" i="13" s="1"/>
  <c r="G12" i="6"/>
  <c r="H11" i="13" s="1"/>
  <c r="G11" i="6"/>
  <c r="H10" i="13" s="1"/>
  <c r="G17" i="6"/>
  <c r="H16" i="13" s="1"/>
  <c r="G8" i="6"/>
  <c r="H7" i="13" s="1"/>
  <c r="F7" i="6"/>
  <c r="G7" s="1"/>
  <c r="H6" i="13" s="1"/>
  <c r="G10" i="6"/>
  <c r="H9" i="13" s="1"/>
  <c r="F5" i="6"/>
  <c r="G5" s="1"/>
  <c r="D32" i="13" l="1"/>
  <c r="G32"/>
  <c r="B24"/>
  <c r="G24"/>
  <c r="D28"/>
  <c r="B28"/>
  <c r="C28"/>
  <c r="G28"/>
  <c r="D31"/>
  <c r="G31"/>
  <c r="B31"/>
  <c r="C31"/>
  <c r="D29"/>
  <c r="G29"/>
  <c r="C29"/>
  <c r="B29"/>
  <c r="C24"/>
  <c r="D24"/>
  <c r="B32"/>
  <c r="C32"/>
  <c r="H14" i="6"/>
  <c r="H13"/>
  <c r="H15"/>
  <c r="H17"/>
  <c r="H8"/>
  <c r="H12"/>
  <c r="H16"/>
  <c r="B26" i="13"/>
  <c r="D26"/>
  <c r="C26"/>
  <c r="B25"/>
  <c r="D25"/>
  <c r="C25"/>
  <c r="G22"/>
  <c r="D22"/>
  <c r="B22"/>
  <c r="C22"/>
  <c r="D27"/>
  <c r="B27"/>
  <c r="C27"/>
  <c r="B33"/>
  <c r="D33"/>
  <c r="C33"/>
  <c r="D23"/>
  <c r="B23"/>
  <c r="C23"/>
  <c r="G23"/>
  <c r="G25"/>
  <c r="G27"/>
  <c r="G26"/>
  <c r="G33"/>
  <c r="H9" i="6"/>
  <c r="H11"/>
  <c r="H7"/>
  <c r="H10"/>
  <c r="H6"/>
  <c r="H5"/>
  <c r="H4" i="13"/>
  <c r="H13"/>
  <c r="D21" l="1"/>
  <c r="B21"/>
  <c r="C21"/>
  <c r="D30"/>
  <c r="B30"/>
  <c r="C30"/>
  <c r="G21"/>
  <c r="G30"/>
  <c r="C35" l="1"/>
  <c r="H25"/>
  <c r="H33"/>
  <c r="H27"/>
  <c r="H30"/>
  <c r="H26"/>
  <c r="H29"/>
  <c r="H24"/>
  <c r="H31"/>
  <c r="H21"/>
  <c r="H32"/>
  <c r="H28"/>
  <c r="H22"/>
  <c r="D35"/>
  <c r="B35"/>
</calcChain>
</file>

<file path=xl/sharedStrings.xml><?xml version="1.0" encoding="utf-8"?>
<sst xmlns="http://schemas.openxmlformats.org/spreadsheetml/2006/main" count="718" uniqueCount="292">
  <si>
    <t xml:space="preserve">Gmax = </t>
  </si>
  <si>
    <t>Gmin =</t>
  </si>
  <si>
    <t>Emissions</t>
  </si>
  <si>
    <t>Handling</t>
  </si>
  <si>
    <t>Oral</t>
  </si>
  <si>
    <t>Static</t>
  </si>
  <si>
    <t>Paper</t>
  </si>
  <si>
    <t>Late Paper</t>
  </si>
  <si>
    <t>Safety Violation</t>
  </si>
  <si>
    <t>POINTS</t>
  </si>
  <si>
    <t>Fuel Economy (MPG)</t>
  </si>
  <si>
    <t>gallons</t>
  </si>
  <si>
    <t>miles</t>
  </si>
  <si>
    <t>Distance=</t>
  </si>
  <si>
    <t>SCORE</t>
  </si>
  <si>
    <t>Tmin=</t>
  </si>
  <si>
    <t>sec</t>
  </si>
  <si>
    <t>Result (PASS/FAIL)</t>
  </si>
  <si>
    <t>Performance</t>
  </si>
  <si>
    <t>Best</t>
  </si>
  <si>
    <t>Points</t>
  </si>
  <si>
    <t>Design</t>
  </si>
  <si>
    <t>Most</t>
  </si>
  <si>
    <t>Practical</t>
  </si>
  <si>
    <t>TOTAL</t>
  </si>
  <si>
    <t>RANK</t>
  </si>
  <si>
    <t>FINAL</t>
  </si>
  <si>
    <t>Ordinal</t>
  </si>
  <si>
    <t>(Max gallons used of finishing teams)</t>
  </si>
  <si>
    <t>(Min gallons used of finishing teams)</t>
  </si>
  <si>
    <t>(Course distance)</t>
  </si>
  <si>
    <t>Run1 Time (s)</t>
  </si>
  <si>
    <t>Run2 Time (s)</t>
  </si>
  <si>
    <t>Minimum Lap Time (s)</t>
  </si>
  <si>
    <t>Tmax =</t>
  </si>
  <si>
    <t>Tmin =</t>
  </si>
  <si>
    <t>Noise</t>
  </si>
  <si>
    <t>Acceleration</t>
  </si>
  <si>
    <t>Best Time (s)</t>
  </si>
  <si>
    <t>Late Oral</t>
  </si>
  <si>
    <t>Fuel</t>
  </si>
  <si>
    <t>Economy</t>
  </si>
  <si>
    <t>Cold</t>
  </si>
  <si>
    <t>Start</t>
  </si>
  <si>
    <t xml:space="preserve"> </t>
  </si>
  <si>
    <t>Objective</t>
  </si>
  <si>
    <t>Display</t>
  </si>
  <si>
    <t>Subjective</t>
  </si>
  <si>
    <t>Comments</t>
  </si>
  <si>
    <t>Actual
Gallons
Consumed</t>
  </si>
  <si>
    <t>Score</t>
  </si>
  <si>
    <t>Late Design 
Write-up/Fuel Selection</t>
  </si>
  <si>
    <t>Front Left</t>
  </si>
  <si>
    <t>Front Right</t>
  </si>
  <si>
    <t>Rear</t>
  </si>
  <si>
    <t>Wmin=</t>
  </si>
  <si>
    <t>Wmax=</t>
  </si>
  <si>
    <t>pounds</t>
  </si>
  <si>
    <t>Total</t>
  </si>
  <si>
    <t>Late MSRP</t>
  </si>
  <si>
    <t>Bonus for No Maintenance</t>
  </si>
  <si>
    <t>Maintenance
or
Design</t>
  </si>
  <si>
    <t>Bonuses</t>
  </si>
  <si>
    <t>Penalties/</t>
  </si>
  <si>
    <t>Miles
 Completed</t>
  </si>
  <si>
    <t>MSRP</t>
  </si>
  <si>
    <t>Best Design Winner (SAE)</t>
  </si>
  <si>
    <t>Best Fuel Economy Winner (Gage)</t>
  </si>
  <si>
    <t>Most Practical Winner (BRC)</t>
  </si>
  <si>
    <t>Best Handling (Polaris)</t>
  </si>
  <si>
    <t>Average</t>
  </si>
  <si>
    <t>Best Acceleration (Woody's)</t>
  </si>
  <si>
    <t>Subjective Points</t>
  </si>
  <si>
    <t>Total Noise</t>
  </si>
  <si>
    <t>Min=</t>
  </si>
  <si>
    <t xml:space="preserve"> Rank</t>
  </si>
  <si>
    <t>Tmax=</t>
  </si>
  <si>
    <t xml:space="preserve">  </t>
  </si>
  <si>
    <t>Lab Emissions</t>
  </si>
  <si>
    <t>In Service</t>
  </si>
  <si>
    <t>Notes: Penalties included in times</t>
  </si>
  <si>
    <t>Inspection
 Penalty</t>
  </si>
  <si>
    <t>Ranking</t>
  </si>
  <si>
    <t>CSC Points</t>
  </si>
  <si>
    <t>Best Emissions Winner (AVL)</t>
  </si>
  <si>
    <t>Lowest "In Service" Emissions (Sensors)</t>
  </si>
  <si>
    <t>FINAL EMISSIONS (grams/mile)</t>
  </si>
  <si>
    <t>No points for</t>
  </si>
  <si>
    <t>Weight</t>
  </si>
  <si>
    <t>BSFC +</t>
  </si>
  <si>
    <t>Fuel Economy +</t>
  </si>
  <si>
    <t>LAB EMISSION RESULTS</t>
  </si>
  <si>
    <t>BSFC RESULTS</t>
  </si>
  <si>
    <t>Must PASS Lab Emission Test</t>
  </si>
  <si>
    <t>Must Complete 5 Modes</t>
  </si>
  <si>
    <t>TEAM</t>
  </si>
  <si>
    <t>Maximum
Horsepower
&lt; 130</t>
  </si>
  <si>
    <t>Completed 5 Modes</t>
  </si>
  <si>
    <t>CO
&lt; 275</t>
  </si>
  <si>
    <t>HC + NOx
&lt; 90</t>
  </si>
  <si>
    <t>E Score
&gt; 100</t>
  </si>
  <si>
    <t>Lab Emission Test</t>
  </si>
  <si>
    <t>Passing
E Scores</t>
  </si>
  <si>
    <t>Lab Emission Points</t>
  </si>
  <si>
    <t>Lab EmissionRanking</t>
  </si>
  <si>
    <t>Weighted BSFC</t>
  </si>
  <si>
    <t>Teams exceeding 130 HP during the Power Sweep will not be allowed to continue</t>
  </si>
  <si>
    <t>Must PASS "Lab Emission Test" to score "Lab Emission Points"</t>
  </si>
  <si>
    <t>Must PASS "Completed 5 Modes" to score "BSCF points", but do not have to PASS the "Lab Emission Test"</t>
  </si>
  <si>
    <t>Min Emissions</t>
  </si>
  <si>
    <t>Max Emission</t>
  </si>
  <si>
    <t>Min Fuel Economy</t>
  </si>
  <si>
    <t>Max Fuel Economy</t>
  </si>
  <si>
    <t>BSFC Points</t>
  </si>
  <si>
    <t>Justifying starting point for sled</t>
  </si>
  <si>
    <t>Justifying reason for component adds</t>
  </si>
  <si>
    <t>Quality of research in determining price</t>
  </si>
  <si>
    <t>Team</t>
  </si>
  <si>
    <t>(information only)</t>
  </si>
  <si>
    <t>on</t>
  </si>
  <si>
    <t>Test
Miles</t>
  </si>
  <si>
    <t>Comment</t>
  </si>
  <si>
    <t>Best Engine Design (Mahle)$500</t>
  </si>
  <si>
    <t>Most Sportsmanlike Winner  (AVL)$1000</t>
  </si>
  <si>
    <t>Soot
&lt; 0.1</t>
  </si>
  <si>
    <t>"y=mx+B'</t>
  </si>
  <si>
    <t>Y=score</t>
  </si>
  <si>
    <t>X=cost</t>
  </si>
  <si>
    <t>M=slope</t>
  </si>
  <si>
    <t>B=Y intercept at X=0</t>
  </si>
  <si>
    <t>Max=</t>
  </si>
  <si>
    <t>Max score points=</t>
  </si>
  <si>
    <t>Y=mx+b</t>
  </si>
  <si>
    <t>m=</t>
  </si>
  <si>
    <t>b=</t>
  </si>
  <si>
    <t>Linear curve</t>
  </si>
  <si>
    <t>y=mx+b</t>
  </si>
  <si>
    <t>Linear POINTS</t>
  </si>
  <si>
    <t>Mimimum score is 5 points regardless of averaage</t>
  </si>
  <si>
    <t>Otherwise the average is the score.</t>
  </si>
  <si>
    <t>Linear Ranking on Price</t>
  </si>
  <si>
    <t>These scores are subjective from the judges for the respective categories.</t>
  </si>
  <si>
    <t>20 Points are given on a linear scale from low to high.</t>
  </si>
  <si>
    <t>Total Score</t>
  </si>
  <si>
    <t>Minimum score is 2.5 if they compete.</t>
  </si>
  <si>
    <t>Minimum score is 2.5 if they turn in an MSRP.</t>
  </si>
  <si>
    <t>Minimum score is 50 points if they show up and stay until allowed to leave.</t>
  </si>
  <si>
    <t>Notes</t>
  </si>
  <si>
    <t>Slope</t>
  </si>
  <si>
    <t>Minimum  rank</t>
  </si>
  <si>
    <t>Intercept</t>
  </si>
  <si>
    <t>Maximum rank</t>
  </si>
  <si>
    <t>or whatever the minumum is</t>
  </si>
  <si>
    <t>or whatever the control sled is</t>
  </si>
  <si>
    <t>Minimum score is 5 points as long as a report is submitted.</t>
  </si>
  <si>
    <t>Fuel Economy</t>
  </si>
  <si>
    <t>Sound Pressure</t>
  </si>
  <si>
    <t>Sample result: -3dB in sound pressure = ~half the max score</t>
  </si>
  <si>
    <t>Lowest SPL gets 150 points</t>
  </si>
  <si>
    <t>SPL equal to or greater than control sled gets 7.5 points</t>
  </si>
  <si>
    <t># of papers</t>
  </si>
  <si>
    <t>CO+NO+THC
g/mile</t>
  </si>
  <si>
    <t>Endurance</t>
  </si>
  <si>
    <t>Run 1 Lap Time (s)</t>
  </si>
  <si>
    <t>Run 2 Lap Time (s)</t>
  </si>
  <si>
    <t>Fuel consumed (gallons)</t>
  </si>
  <si>
    <t>Design Paper
Judge</t>
  </si>
  <si>
    <t>First Place Winner Overall
 (ISMA)$1,000 MacLean-Fogg $1000</t>
  </si>
  <si>
    <t>Not able to go 45 mph on course</t>
  </si>
  <si>
    <t>Innovation (DENSO) $500</t>
  </si>
  <si>
    <t>Trail Trac Award (HBPSI) $500</t>
  </si>
  <si>
    <t>Best of the Best (BASF)</t>
  </si>
  <si>
    <t>SAE CSC 2016 Final Score Internal Combustion Class</t>
  </si>
  <si>
    <t>SAE CSC 2016 Design Paper</t>
  </si>
  <si>
    <t>SAE CSC 2016 Static Display Results</t>
  </si>
  <si>
    <t>SAE CSC 2016 MSRP Results</t>
  </si>
  <si>
    <t>SAE CSC 2016 Subjective Ride Results - Event Coordinator - Polaris</t>
  </si>
  <si>
    <t>SAE CSC 2016 Fuel Economy/Endurance Results</t>
  </si>
  <si>
    <t>SAE CSC 2016 IC Engine Noise Testing</t>
  </si>
  <si>
    <t>SAE CSC 2016 Oral Presentation Results</t>
  </si>
  <si>
    <t>SAE CSC 2016 Acceleration Results Mike Rittenour - Polaris</t>
  </si>
  <si>
    <t>SAE CSC 2016 Lab Emission Testing Results</t>
  </si>
  <si>
    <t>SAE CSC 2016 In Service Emission Testing Results</t>
  </si>
  <si>
    <t>SAE CSC 2016 Cold Start Results</t>
  </si>
  <si>
    <t>SAE CSC 2016 Objective Handling/Driveability Event Results Mike Rittenour- Polaris</t>
  </si>
  <si>
    <t>SAE CSC 2016 IC Vehicle Weights</t>
  </si>
  <si>
    <t>#1 Univ of Wisconsin-Madison</t>
  </si>
  <si>
    <t>#2 Kettering University</t>
  </si>
  <si>
    <t>#3 École De Technologie Supérieure</t>
  </si>
  <si>
    <t>#4 Univ of Minnesota-Duluth</t>
  </si>
  <si>
    <t>#5 Univ of Idaho</t>
  </si>
  <si>
    <t>#6 Michigan Tech University</t>
  </si>
  <si>
    <t>#7 Univ of Wisconsin-Platteville</t>
  </si>
  <si>
    <t>#8 Iowa State Univ</t>
  </si>
  <si>
    <t>#9Northern Illinois Univ</t>
  </si>
  <si>
    <t>#10 Univ of Minnesota-Twin Cities</t>
  </si>
  <si>
    <t>#11 Clarkson University</t>
  </si>
  <si>
    <t>#12 Rochester Institute of Technolgy</t>
  </si>
  <si>
    <t>#13 University of Waterloo</t>
  </si>
  <si>
    <t>Minimum team J1161 Sound Pressure Level =</t>
  </si>
  <si>
    <t>Control Sled J1161 Sound Pressure Level</t>
  </si>
  <si>
    <t>SAE CSC 2016 Penalties and Bonuses</t>
  </si>
  <si>
    <t>(+65+60)/2</t>
  </si>
  <si>
    <t>DNF Drive Belt Failed</t>
  </si>
  <si>
    <t>Not Eligible - Did not pass inspection Monday</t>
  </si>
  <si>
    <t>Balaka</t>
  </si>
  <si>
    <t>Bailey</t>
  </si>
  <si>
    <t>Brit</t>
  </si>
  <si>
    <t>Bul</t>
  </si>
  <si>
    <t>Elzinga</t>
  </si>
  <si>
    <t>Cleveland</t>
  </si>
  <si>
    <t>Johnson</t>
  </si>
  <si>
    <t>Jal</t>
  </si>
  <si>
    <t>Leon</t>
  </si>
  <si>
    <t>Lloyd</t>
  </si>
  <si>
    <t>Walber</t>
  </si>
  <si>
    <t>P.S.</t>
  </si>
  <si>
    <t>Schiefer</t>
  </si>
  <si>
    <t>Ray Wm</t>
  </si>
  <si>
    <t>Low</t>
  </si>
  <si>
    <t>Zdral</t>
  </si>
  <si>
    <t>Denny</t>
  </si>
  <si>
    <t>Moyle</t>
  </si>
  <si>
    <t>Drew</t>
  </si>
  <si>
    <t>TimO</t>
  </si>
  <si>
    <t>Lee</t>
  </si>
  <si>
    <t>Stene</t>
  </si>
  <si>
    <t>K2</t>
  </si>
  <si>
    <t>MIS</t>
  </si>
  <si>
    <t>Jack</t>
  </si>
  <si>
    <t>N.M.</t>
  </si>
  <si>
    <t>Joel</t>
  </si>
  <si>
    <t>Oberski</t>
  </si>
  <si>
    <t>Dent</t>
  </si>
  <si>
    <t>Timm</t>
  </si>
  <si>
    <t>Wallace</t>
  </si>
  <si>
    <t>N.N.1</t>
  </si>
  <si>
    <t>N.N.2</t>
  </si>
  <si>
    <t>N.N.</t>
  </si>
  <si>
    <t>Blue</t>
  </si>
  <si>
    <t>DNF</t>
  </si>
  <si>
    <t>PASS</t>
  </si>
  <si>
    <t>FAIL</t>
  </si>
  <si>
    <t>DNC</t>
  </si>
  <si>
    <t>Note this page will be calculated by AVL in their computer.  Just copy and paste results.</t>
  </si>
  <si>
    <t>MinEScore</t>
  </si>
  <si>
    <t>-</t>
  </si>
  <si>
    <t>MaxEScore</t>
  </si>
  <si>
    <t>MinBSFC</t>
  </si>
  <si>
    <t>g/kw-hr</t>
  </si>
  <si>
    <t>MaxBSFC</t>
  </si>
  <si>
    <t>Safety Award (HAWK)</t>
  </si>
  <si>
    <t>(1) 1 flag, (2) 2 flags</t>
  </si>
  <si>
    <t>did not run</t>
  </si>
  <si>
    <t>(1) 4 flags, (2) 0 flags</t>
  </si>
  <si>
    <t>(1) 4 flags, (2) 2 flags</t>
  </si>
  <si>
    <t>(1) 2 flags, (2) 2 flags</t>
  </si>
  <si>
    <t>(1) 3 flags, (2) 8 flags</t>
  </si>
  <si>
    <t>(1) 1 flag, (2) 1 flag &amp; Box</t>
  </si>
  <si>
    <t>(1) 6 flags, (2) 3 flags &amp; Box</t>
  </si>
  <si>
    <t>(1) 3 flags, (2) 3 flags</t>
  </si>
  <si>
    <t>Did not run</t>
  </si>
  <si>
    <t>(1) 2 flags &amp; Box, (2) 0 flags</t>
  </si>
  <si>
    <t>(1) 7 flags &amp; Box, (2) 13 flags &amp; box</t>
  </si>
  <si>
    <t>Minimum Points</t>
  </si>
  <si>
    <t>Maximum Points</t>
  </si>
  <si>
    <t>Value</t>
  </si>
  <si>
    <t>as above</t>
  </si>
  <si>
    <t>E10/87 Octane Gas + E85 Class 3 Winter Fuel Mixture</t>
  </si>
  <si>
    <t xml:space="preserve">DNF </t>
  </si>
  <si>
    <t>dBA</t>
  </si>
  <si>
    <t>Control Sled tested to J1161 Sound Pressure
 at 35mph in dBA</t>
  </si>
  <si>
    <t>Note: Course was shortened to 400 feet for safety reasons - ice on course/stopping distance</t>
  </si>
  <si>
    <t>Total Time must be Less than 10 seconds</t>
  </si>
  <si>
    <t>M</t>
  </si>
  <si>
    <t>B</t>
  </si>
  <si>
    <t>Total Points</t>
  </si>
  <si>
    <t>FE Score</t>
  </si>
  <si>
    <t>FE Ordinal</t>
  </si>
  <si>
    <t>Dissconnecting tether from a running sled in acceleration run on Saturday</t>
  </si>
  <si>
    <t>Data not taken</t>
  </si>
  <si>
    <t>#112 SUNY-BUFFALO in the DUC Class</t>
  </si>
  <si>
    <t>Best Value Award (Continental EMITECH)</t>
  </si>
  <si>
    <t>Most Innovative Emissions Design (Faurrecia)</t>
  </si>
  <si>
    <t>Most Likely to be Manufactured (Kohler)$500</t>
  </si>
  <si>
    <t>Best Performance Winner (CAMSO) Camso Trac</t>
  </si>
  <si>
    <t>Quietest Snowmobile Winner (PCB) Camso Trac</t>
  </si>
  <si>
    <t>Horiba "A Team in Need" - portable 5 gas analyzer</t>
  </si>
  <si>
    <t>CAN -DO E-Controls award (Enovation) products</t>
  </si>
  <si>
    <t>Second Place Winner Overall $625</t>
  </si>
  <si>
    <t>Second Place Winner Overall (ACSA)$625</t>
  </si>
  <si>
    <t>Declared Virtual tie by the Organizers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</si>
</sst>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4" formatCode="0.0"/>
    <numFmt numFmtId="165" formatCode="&quot;$&quot;#,##0.00"/>
    <numFmt numFmtId="166" formatCode="0.000"/>
    <numFmt numFmtId="167" formatCode="0.0%"/>
    <numFmt numFmtId="168" formatCode="\$#,##0.00"/>
    <numFmt numFmtId="169" formatCode="0.000000"/>
    <numFmt numFmtId="170" formatCode="0.0000"/>
  </numFmts>
  <fonts count="6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4"/>
      <name val="Arial"/>
      <family val="2"/>
    </font>
    <font>
      <sz val="12"/>
      <name val="Arial"/>
      <family val="2"/>
    </font>
    <font>
      <sz val="10"/>
      <color indexed="14"/>
      <name val="Arial"/>
      <family val="2"/>
    </font>
    <font>
      <i/>
      <sz val="9"/>
      <name val="Arial"/>
      <family val="2"/>
    </font>
    <font>
      <sz val="10"/>
      <color indexed="53"/>
      <name val="Arial"/>
      <family val="2"/>
    </font>
    <font>
      <b/>
      <sz val="10"/>
      <color indexed="53"/>
      <name val="Arial"/>
      <family val="2"/>
    </font>
    <font>
      <b/>
      <i/>
      <sz val="14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trike/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36"/>
      <color indexed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10"/>
      <name val="Calibri"/>
      <family val="2"/>
      <scheme val="minor"/>
    </font>
    <font>
      <sz val="12"/>
      <color rgb="FFFF0000"/>
      <name val="Arial"/>
      <family val="2"/>
    </font>
    <font>
      <b/>
      <i/>
      <sz val="12"/>
      <color rgb="FFFF0000"/>
      <name val="Arial"/>
      <family val="2"/>
    </font>
    <font>
      <sz val="1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996666"/>
      <name val="Arial"/>
      <family val="2"/>
    </font>
    <font>
      <sz val="11"/>
      <color rgb="FF000000"/>
      <name val="Calibri"/>
      <family val="2"/>
    </font>
    <font>
      <i/>
      <sz val="10"/>
      <name val="Arial"/>
      <family val="2"/>
    </font>
    <font>
      <sz val="11"/>
      <color theme="1"/>
      <name val="Calibri"/>
      <family val="2"/>
    </font>
    <font>
      <u/>
      <sz val="10"/>
      <color theme="10"/>
      <name val="Arial"/>
    </font>
    <font>
      <b/>
      <sz val="10"/>
      <color rgb="FF00B050"/>
      <name val="Arial"/>
      <family val="2"/>
    </font>
    <font>
      <u/>
      <sz val="10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39" fillId="2" borderId="0" applyNumberFormat="0" applyBorder="0" applyAlignment="0" applyProtection="0"/>
    <xf numFmtId="44" fontId="40" fillId="0" borderId="0" applyFont="0" applyFill="0" applyBorder="0" applyAlignment="0" applyProtection="0"/>
    <xf numFmtId="0" fontId="6" fillId="0" borderId="0"/>
    <xf numFmtId="0" fontId="7" fillId="0" borderId="0"/>
    <xf numFmtId="0" fontId="63" fillId="0" borderId="0" applyNumberFormat="0" applyFill="0" applyBorder="0" applyAlignment="0" applyProtection="0"/>
    <xf numFmtId="44" fontId="7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534">
    <xf numFmtId="0" fontId="0" fillId="0" borderId="0" xfId="0"/>
    <xf numFmtId="0" fontId="0" fillId="0" borderId="0" xfId="0" applyBorder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8" fillId="0" borderId="0" xfId="0" applyFont="1" applyAlignment="1" applyProtection="1">
      <alignment horizontal="center"/>
    </xf>
    <xf numFmtId="0" fontId="0" fillId="0" borderId="0" xfId="0" applyProtection="1"/>
    <xf numFmtId="0" fontId="13" fillId="0" borderId="0" xfId="0" applyFont="1" applyProtection="1"/>
    <xf numFmtId="0" fontId="9" fillId="0" borderId="0" xfId="0" applyFont="1" applyProtection="1"/>
    <xf numFmtId="0" fontId="0" fillId="0" borderId="0" xfId="0" applyAlignment="1" applyProtection="1">
      <alignment horizontal="right"/>
    </xf>
    <xf numFmtId="0" fontId="8" fillId="0" borderId="0" xfId="0" applyFont="1" applyProtection="1"/>
    <xf numFmtId="0" fontId="8" fillId="0" borderId="0" xfId="0" applyFont="1" applyFill="1" applyBorder="1" applyProtection="1"/>
    <xf numFmtId="0" fontId="0" fillId="0" borderId="0" xfId="0" applyFill="1" applyBorder="1" applyProtection="1"/>
    <xf numFmtId="0" fontId="8" fillId="0" borderId="0" xfId="0" applyFont="1" applyAlignment="1" applyProtection="1">
      <alignment horizontal="right"/>
    </xf>
    <xf numFmtId="0" fontId="11" fillId="0" borderId="0" xfId="0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right"/>
    </xf>
    <xf numFmtId="0" fontId="11" fillId="0" borderId="0" xfId="0" applyFont="1" applyFill="1" applyBorder="1" applyProtection="1"/>
    <xf numFmtId="1" fontId="8" fillId="0" borderId="0" xfId="0" applyNumberFormat="1" applyFont="1" applyAlignment="1" applyProtection="1">
      <alignment horizontal="center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right"/>
    </xf>
    <xf numFmtId="0" fontId="11" fillId="0" borderId="0" xfId="0" applyFont="1" applyAlignment="1" applyProtection="1">
      <alignment horizontal="center"/>
    </xf>
    <xf numFmtId="0" fontId="12" fillId="0" borderId="0" xfId="0" applyFont="1" applyProtection="1"/>
    <xf numFmtId="0" fontId="12" fillId="0" borderId="0" xfId="0" applyFont="1" applyFill="1" applyBorder="1"/>
    <xf numFmtId="0" fontId="11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5" fillId="0" borderId="0" xfId="0" applyFont="1"/>
    <xf numFmtId="0" fontId="12" fillId="0" borderId="0" xfId="0" applyFont="1" applyFill="1" applyBorder="1" applyAlignment="1" applyProtection="1">
      <alignment horizontal="right"/>
    </xf>
    <xf numFmtId="1" fontId="8" fillId="0" borderId="0" xfId="0" applyNumberFormat="1" applyFont="1" applyAlignment="1" applyProtection="1">
      <alignment horizontal="right"/>
    </xf>
    <xf numFmtId="0" fontId="12" fillId="0" borderId="0" xfId="0" applyFont="1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0" fontId="0" fillId="0" borderId="0" xfId="0" applyFill="1"/>
    <xf numFmtId="164" fontId="0" fillId="0" borderId="0" xfId="0" applyNumberFormat="1" applyFill="1"/>
    <xf numFmtId="1" fontId="12" fillId="0" borderId="0" xfId="0" applyNumberFormat="1" applyFont="1" applyAlignment="1" applyProtection="1">
      <alignment horizontal="right"/>
    </xf>
    <xf numFmtId="1" fontId="11" fillId="0" borderId="0" xfId="0" applyNumberFormat="1" applyFont="1" applyAlignment="1" applyProtection="1">
      <alignment horizontal="center"/>
    </xf>
    <xf numFmtId="1" fontId="12" fillId="0" borderId="0" xfId="0" applyNumberFormat="1" applyFont="1" applyAlignment="1" applyProtection="1">
      <alignment horizontal="center"/>
    </xf>
    <xf numFmtId="0" fontId="8" fillId="0" borderId="0" xfId="0" applyFont="1" applyAlignment="1" applyProtection="1">
      <alignment horizontal="center" wrapText="1"/>
    </xf>
    <xf numFmtId="1" fontId="10" fillId="0" borderId="0" xfId="0" applyNumberFormat="1" applyFont="1" applyAlignment="1" applyProtection="1">
      <alignment horizontal="right"/>
    </xf>
    <xf numFmtId="0" fontId="10" fillId="0" borderId="0" xfId="0" applyFont="1" applyProtection="1"/>
    <xf numFmtId="0" fontId="11" fillId="0" borderId="0" xfId="0" applyFont="1" applyFill="1" applyBorder="1" applyAlignment="1" applyProtection="1">
      <alignment horizontal="center" wrapText="1"/>
    </xf>
    <xf numFmtId="164" fontId="12" fillId="0" borderId="0" xfId="0" applyNumberFormat="1" applyFont="1" applyFill="1" applyBorder="1" applyAlignment="1" applyProtection="1">
      <alignment horizontal="center"/>
    </xf>
    <xf numFmtId="0" fontId="0" fillId="0" borderId="0" xfId="0" applyAlignment="1"/>
    <xf numFmtId="0" fontId="0" fillId="0" borderId="0" xfId="0" applyFill="1" applyAlignment="1">
      <alignment horizontal="center"/>
    </xf>
    <xf numFmtId="0" fontId="12" fillId="0" borderId="0" xfId="0" applyFont="1" applyFill="1"/>
    <xf numFmtId="0" fontId="11" fillId="0" borderId="0" xfId="0" applyFont="1" applyFill="1" applyAlignment="1" applyProtection="1">
      <alignment horizontal="center"/>
    </xf>
    <xf numFmtId="0" fontId="13" fillId="0" borderId="0" xfId="0" applyFont="1" applyFill="1"/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5" fontId="12" fillId="0" borderId="0" xfId="0" applyNumberFormat="1" applyFont="1" applyFill="1" applyBorder="1" applyProtection="1"/>
    <xf numFmtId="165" fontId="0" fillId="0" borderId="0" xfId="0" applyNumberFormat="1" applyFill="1" applyBorder="1"/>
    <xf numFmtId="0" fontId="0" fillId="0" borderId="0" xfId="0" applyBorder="1" applyProtection="1"/>
    <xf numFmtId="0" fontId="12" fillId="0" borderId="0" xfId="0" applyFont="1" applyFill="1" applyBorder="1" applyAlignment="1" applyProtection="1">
      <alignment horizontal="center"/>
    </xf>
    <xf numFmtId="164" fontId="0" fillId="0" borderId="0" xfId="0" applyNumberFormat="1"/>
    <xf numFmtId="0" fontId="8" fillId="0" borderId="0" xfId="0" applyFont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164" fontId="8" fillId="0" borderId="0" xfId="0" applyNumberFormat="1" applyFont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64" fontId="10" fillId="0" borderId="0" xfId="0" applyNumberFormat="1" applyFont="1" applyAlignment="1" applyProtection="1">
      <alignment horizontal="center"/>
    </xf>
    <xf numFmtId="0" fontId="0" fillId="0" borderId="0" xfId="0" applyBorder="1" applyAlignment="1">
      <alignment horizontal="center"/>
    </xf>
    <xf numFmtId="164" fontId="11" fillId="0" borderId="0" xfId="0" applyNumberFormat="1" applyFont="1" applyFill="1" applyBorder="1" applyAlignment="1" applyProtection="1">
      <alignment horizontal="center"/>
    </xf>
    <xf numFmtId="0" fontId="16" fillId="0" borderId="0" xfId="0" applyFont="1"/>
    <xf numFmtId="0" fontId="8" fillId="0" borderId="0" xfId="0" applyFont="1" applyAlignment="1" applyProtection="1">
      <alignment horizontal="left"/>
    </xf>
    <xf numFmtId="167" fontId="0" fillId="0" borderId="0" xfId="0" applyNumberFormat="1" applyAlignment="1" applyProtection="1">
      <alignment horizontal="center"/>
    </xf>
    <xf numFmtId="0" fontId="10" fillId="0" borderId="0" xfId="0" applyFont="1"/>
    <xf numFmtId="0" fontId="10" fillId="0" borderId="0" xfId="0" applyFont="1" applyAlignment="1" applyProtection="1">
      <alignment horizontal="right"/>
    </xf>
    <xf numFmtId="2" fontId="0" fillId="0" borderId="0" xfId="0" applyNumberFormat="1" applyProtection="1"/>
    <xf numFmtId="0" fontId="0" fillId="0" borderId="0" xfId="0" applyBorder="1" applyAlignment="1" applyProtection="1">
      <alignment horizontal="right"/>
    </xf>
    <xf numFmtId="0" fontId="8" fillId="0" borderId="0" xfId="0" applyFont="1" applyBorder="1" applyAlignment="1" applyProtection="1">
      <alignment horizontal="center" wrapText="1"/>
    </xf>
    <xf numFmtId="1" fontId="0" fillId="0" borderId="0" xfId="0" applyNumberFormat="1" applyFill="1" applyBorder="1" applyProtection="1"/>
    <xf numFmtId="1" fontId="0" fillId="0" borderId="0" xfId="0" applyNumberFormat="1" applyBorder="1" applyAlignment="1" applyProtection="1">
      <alignment horizontal="center"/>
    </xf>
    <xf numFmtId="164" fontId="8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2" fillId="0" borderId="0" xfId="0" quotePrefix="1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wrapText="1"/>
    </xf>
    <xf numFmtId="0" fontId="11" fillId="0" borderId="0" xfId="0" applyFont="1" applyAlignment="1" applyProtection="1">
      <alignment horizontal="left"/>
    </xf>
    <xf numFmtId="1" fontId="11" fillId="0" borderId="0" xfId="0" applyNumberFormat="1" applyFont="1" applyAlignment="1" applyProtection="1">
      <alignment horizontal="right"/>
    </xf>
    <xf numFmtId="1" fontId="10" fillId="0" borderId="0" xfId="0" applyNumberFormat="1" applyFont="1" applyAlignment="1" applyProtection="1">
      <alignment horizontal="center"/>
    </xf>
    <xf numFmtId="165" fontId="10" fillId="0" borderId="0" xfId="0" applyNumberFormat="1" applyFont="1" applyProtection="1"/>
    <xf numFmtId="0" fontId="17" fillId="0" borderId="0" xfId="0" applyFont="1" applyProtection="1"/>
    <xf numFmtId="0" fontId="17" fillId="0" borderId="0" xfId="0" applyFont="1" applyAlignment="1" applyProtection="1"/>
    <xf numFmtId="0" fontId="17" fillId="0" borderId="0" xfId="0" applyFont="1" applyBorder="1" applyAlignment="1" applyProtection="1"/>
    <xf numFmtId="0" fontId="17" fillId="0" borderId="0" xfId="0" applyFont="1" applyBorder="1" applyProtection="1"/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17" fillId="0" borderId="0" xfId="0" applyFont="1" applyFill="1" applyBorder="1" applyProtection="1"/>
    <xf numFmtId="0" fontId="17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18" fillId="0" borderId="0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/>
    <xf numFmtId="0" fontId="17" fillId="0" borderId="0" xfId="0" applyFont="1"/>
    <xf numFmtId="0" fontId="17" fillId="0" borderId="0" xfId="0" applyFont="1" applyAlignment="1">
      <alignment horizontal="center"/>
    </xf>
    <xf numFmtId="164" fontId="17" fillId="0" borderId="0" xfId="0" applyNumberFormat="1" applyFont="1" applyFill="1" applyBorder="1" applyAlignment="1" applyProtection="1">
      <alignment horizontal="center"/>
    </xf>
    <xf numFmtId="0" fontId="17" fillId="0" borderId="0" xfId="0" applyFont="1" applyAlignment="1"/>
    <xf numFmtId="2" fontId="17" fillId="0" borderId="0" xfId="0" applyNumberFormat="1" applyFont="1" applyFill="1" applyBorder="1" applyAlignment="1" applyProtection="1">
      <alignment horizontal="center"/>
    </xf>
    <xf numFmtId="164" fontId="17" fillId="0" borderId="0" xfId="0" applyNumberFormat="1" applyFont="1" applyFill="1" applyBorder="1" applyAlignment="1" applyProtection="1"/>
    <xf numFmtId="164" fontId="17" fillId="0" borderId="0" xfId="0" applyNumberFormat="1" applyFont="1" applyFill="1" applyAlignment="1" applyProtection="1"/>
    <xf numFmtId="164" fontId="17" fillId="0" borderId="0" xfId="0" applyNumberFormat="1" applyFont="1" applyFill="1" applyProtection="1"/>
    <xf numFmtId="164" fontId="17" fillId="0" borderId="0" xfId="0" applyNumberFormat="1" applyFont="1" applyFill="1"/>
    <xf numFmtId="164" fontId="17" fillId="0" borderId="0" xfId="0" applyNumberFormat="1" applyFont="1" applyFill="1" applyAlignment="1">
      <alignment horizontal="center"/>
    </xf>
    <xf numFmtId="0" fontId="18" fillId="0" borderId="0" xfId="0" applyFont="1" applyBorder="1" applyAlignment="1" applyProtection="1">
      <alignment horizontal="center"/>
    </xf>
    <xf numFmtId="2" fontId="18" fillId="0" borderId="0" xfId="0" applyNumberFormat="1" applyFont="1" applyFill="1" applyBorder="1" applyAlignment="1" applyProtection="1">
      <alignment horizontal="center"/>
    </xf>
    <xf numFmtId="166" fontId="18" fillId="0" borderId="0" xfId="0" applyNumberFormat="1" applyFont="1" applyFill="1" applyBorder="1" applyAlignment="1" applyProtection="1">
      <alignment horizontal="center"/>
    </xf>
    <xf numFmtId="0" fontId="17" fillId="0" borderId="0" xfId="0" applyFont="1" applyFill="1" applyAlignment="1">
      <alignment horizontal="center"/>
    </xf>
    <xf numFmtId="0" fontId="18" fillId="0" borderId="0" xfId="0" applyFont="1" applyProtection="1"/>
    <xf numFmtId="2" fontId="18" fillId="0" borderId="0" xfId="0" applyNumberFormat="1" applyFont="1" applyFill="1" applyBorder="1" applyAlignment="1">
      <alignment horizontal="center"/>
    </xf>
    <xf numFmtId="166" fontId="18" fillId="0" borderId="0" xfId="0" applyNumberFormat="1" applyFont="1" applyFill="1" applyBorder="1" applyAlignment="1">
      <alignment horizontal="center"/>
    </xf>
    <xf numFmtId="164" fontId="17" fillId="0" borderId="0" xfId="0" applyNumberFormat="1" applyFont="1" applyFill="1" applyBorder="1"/>
    <xf numFmtId="164" fontId="17" fillId="0" borderId="0" xfId="0" applyNumberFormat="1" applyFont="1" applyFill="1" applyBorder="1" applyAlignment="1">
      <alignment horizontal="center"/>
    </xf>
    <xf numFmtId="164" fontId="18" fillId="0" borderId="0" xfId="0" applyNumberFormat="1" applyFont="1" applyFill="1" applyBorder="1" applyAlignment="1" applyProtection="1">
      <alignment horizontal="center"/>
    </xf>
    <xf numFmtId="164" fontId="18" fillId="0" borderId="0" xfId="0" applyNumberFormat="1" applyFont="1" applyFill="1" applyBorder="1" applyAlignment="1">
      <alignment horizontal="center"/>
    </xf>
    <xf numFmtId="166" fontId="17" fillId="0" borderId="0" xfId="0" applyNumberFormat="1" applyFont="1" applyFill="1" applyBorder="1" applyAlignment="1" applyProtection="1">
      <alignment horizontal="center"/>
    </xf>
    <xf numFmtId="14" fontId="17" fillId="0" borderId="0" xfId="0" applyNumberFormat="1" applyFont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Border="1" applyAlignment="1" applyProtection="1">
      <alignment horizontal="center"/>
    </xf>
    <xf numFmtId="0" fontId="12" fillId="0" borderId="0" xfId="0" applyFont="1" applyAlignment="1" applyProtection="1"/>
    <xf numFmtId="0" fontId="11" fillId="0" borderId="0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/>
    <xf numFmtId="0" fontId="11" fillId="0" borderId="0" xfId="0" applyFont="1" applyFill="1" applyBorder="1" applyAlignment="1" applyProtection="1"/>
    <xf numFmtId="0" fontId="12" fillId="0" borderId="0" xfId="0" applyFont="1" applyAlignment="1"/>
    <xf numFmtId="2" fontId="12" fillId="0" borderId="0" xfId="0" applyNumberFormat="1" applyFont="1" applyFill="1" applyBorder="1" applyAlignment="1" applyProtection="1">
      <alignment horizontal="center"/>
    </xf>
    <xf numFmtId="164" fontId="12" fillId="0" borderId="0" xfId="0" applyNumberFormat="1" applyFont="1" applyFill="1" applyBorder="1" applyAlignment="1" applyProtection="1"/>
    <xf numFmtId="167" fontId="12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Protection="1"/>
    <xf numFmtId="0" fontId="0" fillId="0" borderId="0" xfId="0" applyAlignment="1">
      <alignment vertical="top" wrapText="1"/>
    </xf>
    <xf numFmtId="0" fontId="12" fillId="0" borderId="0" xfId="0" applyFont="1" applyFill="1" applyBorder="1" applyAlignment="1" applyProtection="1">
      <alignment horizontal="center" wrapText="1"/>
    </xf>
    <xf numFmtId="165" fontId="11" fillId="0" borderId="0" xfId="0" applyNumberFormat="1" applyFont="1" applyFill="1" applyBorder="1" applyProtection="1"/>
    <xf numFmtId="0" fontId="8" fillId="0" borderId="0" xfId="0" applyFont="1"/>
    <xf numFmtId="2" fontId="8" fillId="0" borderId="0" xfId="0" applyNumberFormat="1" applyFont="1" applyFill="1" applyBorder="1" applyAlignment="1" applyProtection="1">
      <alignment horizontal="left"/>
    </xf>
    <xf numFmtId="0" fontId="10" fillId="0" borderId="0" xfId="0" applyFont="1" applyAlignment="1" applyProtection="1">
      <alignment horizontal="center"/>
    </xf>
    <xf numFmtId="0" fontId="21" fillId="0" borderId="0" xfId="0" applyFont="1" applyProtection="1"/>
    <xf numFmtId="0" fontId="20" fillId="0" borderId="0" xfId="0" applyFont="1" applyProtection="1"/>
    <xf numFmtId="0" fontId="23" fillId="0" borderId="0" xfId="0" applyFont="1" applyFill="1" applyBorder="1" applyAlignment="1" applyProtection="1">
      <alignment horizontal="left"/>
    </xf>
    <xf numFmtId="0" fontId="23" fillId="0" borderId="0" xfId="0" applyFont="1" applyAlignment="1">
      <alignment horizontal="left"/>
    </xf>
    <xf numFmtId="0" fontId="20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Alignment="1" applyProtection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167" fontId="21" fillId="0" borderId="0" xfId="0" applyNumberFormat="1" applyFont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/>
    </xf>
    <xf numFmtId="1" fontId="21" fillId="0" borderId="0" xfId="0" applyNumberFormat="1" applyFont="1" applyAlignment="1" applyProtection="1">
      <alignment horizontal="center"/>
    </xf>
    <xf numFmtId="164" fontId="25" fillId="0" borderId="0" xfId="0" applyNumberFormat="1" applyFont="1" applyAlignment="1" applyProtection="1">
      <alignment horizontal="center"/>
    </xf>
    <xf numFmtId="0" fontId="20" fillId="0" borderId="0" xfId="0" applyFont="1" applyAlignment="1" applyProtection="1">
      <alignment horizontal="center"/>
    </xf>
    <xf numFmtId="167" fontId="20" fillId="0" borderId="0" xfId="0" applyNumberFormat="1" applyFont="1" applyFill="1" applyBorder="1" applyAlignment="1" applyProtection="1">
      <alignment horizontal="center"/>
    </xf>
    <xf numFmtId="0" fontId="20" fillId="0" borderId="0" xfId="0" applyFont="1" applyAlignment="1" applyProtection="1"/>
    <xf numFmtId="0" fontId="21" fillId="0" borderId="0" xfId="0" applyFont="1" applyFill="1"/>
    <xf numFmtId="0" fontId="21" fillId="0" borderId="0" xfId="0" applyFont="1" applyFill="1" applyBorder="1" applyAlignment="1" applyProtection="1">
      <alignment horizontal="right"/>
    </xf>
    <xf numFmtId="1" fontId="25" fillId="0" borderId="0" xfId="0" applyNumberFormat="1" applyFont="1" applyAlignment="1" applyProtection="1">
      <alignment horizontal="right"/>
    </xf>
    <xf numFmtId="164" fontId="20" fillId="0" borderId="0" xfId="0" applyNumberFormat="1" applyFont="1" applyAlignment="1" applyProtection="1">
      <alignment horizontal="center"/>
    </xf>
    <xf numFmtId="0" fontId="0" fillId="0" borderId="0" xfId="0" applyAlignment="1">
      <alignment wrapText="1"/>
    </xf>
    <xf numFmtId="0" fontId="27" fillId="0" borderId="0" xfId="0" applyFont="1" applyAlignment="1" applyProtection="1">
      <alignment horizontal="center" wrapText="1"/>
    </xf>
    <xf numFmtId="2" fontId="10" fillId="0" borderId="0" xfId="0" applyNumberFormat="1" applyFont="1" applyAlignment="1" applyProtection="1">
      <alignment horizontal="center"/>
    </xf>
    <xf numFmtId="1" fontId="12" fillId="0" borderId="0" xfId="0" applyNumberFormat="1" applyFont="1" applyAlignment="1" applyProtection="1">
      <alignment horizontal="left"/>
    </xf>
    <xf numFmtId="0" fontId="26" fillId="0" borderId="0" xfId="0" applyFont="1"/>
    <xf numFmtId="0" fontId="26" fillId="0" borderId="0" xfId="0" applyFont="1" applyProtection="1"/>
    <xf numFmtId="0" fontId="10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0" fontId="8" fillId="0" borderId="0" xfId="0" applyFont="1" applyFill="1" applyAlignment="1">
      <alignment horizontal="center"/>
    </xf>
    <xf numFmtId="0" fontId="7" fillId="0" borderId="0" xfId="0" applyFont="1"/>
    <xf numFmtId="2" fontId="10" fillId="0" borderId="0" xfId="0" applyNumberFormat="1" applyFont="1" applyFill="1" applyBorder="1" applyAlignment="1" applyProtection="1">
      <alignment horizontal="center"/>
    </xf>
    <xf numFmtId="164" fontId="8" fillId="0" borderId="0" xfId="0" quotePrefix="1" applyNumberFormat="1" applyFont="1" applyBorder="1" applyAlignment="1" applyProtection="1">
      <alignment horizontal="center"/>
    </xf>
    <xf numFmtId="1" fontId="8" fillId="0" borderId="0" xfId="0" applyNumberFormat="1" applyFont="1" applyBorder="1" applyAlignment="1" applyProtection="1">
      <alignment horizontal="center"/>
    </xf>
    <xf numFmtId="164" fontId="8" fillId="0" borderId="0" xfId="0" applyNumberFormat="1" applyFont="1" applyBorder="1" applyAlignment="1" applyProtection="1">
      <alignment horizontal="right"/>
    </xf>
    <xf numFmtId="164" fontId="8" fillId="0" borderId="0" xfId="0" applyNumberFormat="1" applyFont="1" applyBorder="1" applyAlignment="1" applyProtection="1">
      <alignment horizontal="left"/>
    </xf>
    <xf numFmtId="164" fontId="12" fillId="0" borderId="0" xfId="0" applyNumberFormat="1" applyFont="1" applyFill="1"/>
    <xf numFmtId="2" fontId="8" fillId="0" borderId="0" xfId="0" applyNumberFormat="1" applyFont="1" applyAlignment="1">
      <alignment horizontal="center"/>
    </xf>
    <xf numFmtId="0" fontId="29" fillId="0" borderId="0" xfId="0" applyFont="1" applyAlignment="1">
      <alignment horizontal="justify"/>
    </xf>
    <xf numFmtId="0" fontId="29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2" fontId="17" fillId="0" borderId="0" xfId="0" applyNumberFormat="1" applyFont="1" applyFill="1" applyBorder="1" applyAlignment="1" applyProtection="1">
      <alignment horizontal="left"/>
    </xf>
    <xf numFmtId="0" fontId="10" fillId="0" borderId="0" xfId="0" applyFont="1" applyAlignment="1"/>
    <xf numFmtId="0" fontId="28" fillId="0" borderId="0" xfId="0" applyFont="1" applyAlignment="1">
      <alignment horizontal="center"/>
    </xf>
    <xf numFmtId="1" fontId="22" fillId="0" borderId="0" xfId="0" applyNumberFormat="1" applyFont="1" applyAlignment="1" applyProtection="1">
      <alignment horizontal="center"/>
    </xf>
    <xf numFmtId="164" fontId="20" fillId="0" borderId="2" xfId="0" applyNumberFormat="1" applyFont="1" applyBorder="1" applyAlignment="1">
      <alignment horizontal="center"/>
    </xf>
    <xf numFmtId="1" fontId="20" fillId="0" borderId="0" xfId="0" applyNumberFormat="1" applyFont="1" applyAlignment="1" applyProtection="1">
      <alignment horizontal="center"/>
    </xf>
    <xf numFmtId="166" fontId="20" fillId="0" borderId="0" xfId="0" applyNumberFormat="1" applyFont="1" applyAlignment="1" applyProtection="1">
      <alignment horizontal="center"/>
    </xf>
    <xf numFmtId="0" fontId="22" fillId="0" borderId="0" xfId="0" applyFont="1" applyAlignment="1" applyProtection="1">
      <alignment horizontal="center"/>
    </xf>
    <xf numFmtId="0" fontId="20" fillId="0" borderId="0" xfId="0" applyFont="1" applyFill="1"/>
    <xf numFmtId="0" fontId="10" fillId="0" borderId="0" xfId="0" applyFont="1" applyFill="1" applyAlignment="1">
      <alignment horizontal="center"/>
    </xf>
    <xf numFmtId="0" fontId="8" fillId="0" borderId="0" xfId="0" applyFont="1" applyFill="1" applyAlignment="1" applyProtection="1">
      <alignment horizontal="center"/>
    </xf>
    <xf numFmtId="0" fontId="31" fillId="0" borderId="0" xfId="0" applyFont="1"/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Alignment="1" applyProtection="1">
      <alignment horizontal="left"/>
    </xf>
    <xf numFmtId="2" fontId="10" fillId="0" borderId="0" xfId="0" applyNumberFormat="1" applyFont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10" fillId="0" borderId="0" xfId="0" applyFont="1" applyFill="1" applyBorder="1"/>
    <xf numFmtId="1" fontId="0" fillId="0" borderId="0" xfId="0" applyNumberFormat="1" applyProtection="1"/>
    <xf numFmtId="1" fontId="0" fillId="0" borderId="0" xfId="0" applyNumberFormat="1"/>
    <xf numFmtId="1" fontId="10" fillId="0" borderId="0" xfId="0" applyNumberFormat="1" applyFont="1" applyProtection="1"/>
    <xf numFmtId="2" fontId="12" fillId="0" borderId="0" xfId="0" applyNumberFormat="1" applyFont="1" applyProtection="1"/>
    <xf numFmtId="1" fontId="0" fillId="0" borderId="0" xfId="0" applyNumberFormat="1" applyBorder="1"/>
    <xf numFmtId="0" fontId="10" fillId="0" borderId="0" xfId="0" applyFont="1" applyBorder="1" applyAlignment="1">
      <alignment horizontal="left" wrapText="1"/>
    </xf>
    <xf numFmtId="164" fontId="10" fillId="0" borderId="2" xfId="0" applyNumberFormat="1" applyFont="1" applyBorder="1" applyAlignment="1">
      <alignment horizontal="left"/>
    </xf>
    <xf numFmtId="1" fontId="33" fillId="0" borderId="0" xfId="0" applyNumberFormat="1" applyFont="1" applyAlignment="1" applyProtection="1">
      <alignment horizontal="right"/>
    </xf>
    <xf numFmtId="0" fontId="33" fillId="0" borderId="0" xfId="0" applyFont="1" applyProtection="1"/>
    <xf numFmtId="0" fontId="34" fillId="0" borderId="0" xfId="0" applyFont="1"/>
    <xf numFmtId="0" fontId="34" fillId="0" borderId="0" xfId="0" applyFont="1" applyAlignment="1">
      <alignment horizontal="center"/>
    </xf>
    <xf numFmtId="164" fontId="34" fillId="0" borderId="0" xfId="0" applyNumberFormat="1" applyFont="1"/>
    <xf numFmtId="0" fontId="34" fillId="0" borderId="0" xfId="0" applyFont="1" applyProtection="1"/>
    <xf numFmtId="0" fontId="8" fillId="0" borderId="3" xfId="0" applyFont="1" applyBorder="1" applyAlignment="1">
      <alignment horizontal="centerContinuous"/>
    </xf>
    <xf numFmtId="0" fontId="12" fillId="0" borderId="0" xfId="0" applyFont="1" applyAlignment="1" applyProtection="1">
      <alignment horizontal="centerContinuous"/>
    </xf>
    <xf numFmtId="0" fontId="12" fillId="0" borderId="4" xfId="0" applyFont="1" applyBorder="1" applyAlignment="1" applyProtection="1">
      <alignment horizontal="centerContinuous"/>
    </xf>
    <xf numFmtId="0" fontId="12" fillId="0" borderId="5" xfId="0" applyFont="1" applyBorder="1" applyAlignment="1" applyProtection="1">
      <alignment horizontal="centerContinuous"/>
    </xf>
    <xf numFmtId="0" fontId="12" fillId="0" borderId="3" xfId="0" applyFont="1" applyBorder="1" applyAlignment="1" applyProtection="1">
      <alignment horizontal="centerContinuous"/>
    </xf>
    <xf numFmtId="0" fontId="12" fillId="0" borderId="7" xfId="0" applyFont="1" applyFill="1" applyBorder="1" applyProtection="1"/>
    <xf numFmtId="0" fontId="12" fillId="0" borderId="6" xfId="0" applyFont="1" applyFill="1" applyBorder="1" applyProtection="1"/>
    <xf numFmtId="0" fontId="8" fillId="0" borderId="0" xfId="0" applyFont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/>
    </xf>
    <xf numFmtId="1" fontId="33" fillId="0" borderId="0" xfId="0" applyNumberFormat="1" applyFont="1" applyAlignment="1" applyProtection="1">
      <alignment horizontal="center"/>
    </xf>
    <xf numFmtId="0" fontId="8" fillId="0" borderId="0" xfId="0" applyFont="1" applyFill="1" applyBorder="1" applyAlignment="1" applyProtection="1">
      <alignment horizontal="center" wrapText="1"/>
    </xf>
    <xf numFmtId="164" fontId="7" fillId="0" borderId="2" xfId="0" applyNumberFormat="1" applyFont="1" applyFill="1" applyBorder="1" applyAlignment="1" applyProtection="1">
      <alignment horizontal="center"/>
    </xf>
    <xf numFmtId="0" fontId="7" fillId="0" borderId="0" xfId="0" applyFont="1" applyFill="1" applyAlignment="1">
      <alignment horizontal="center"/>
    </xf>
    <xf numFmtId="164" fontId="11" fillId="0" borderId="2" xfId="0" applyNumberFormat="1" applyFont="1" applyFill="1" applyBorder="1" applyAlignment="1" applyProtection="1">
      <alignment horizontal="center"/>
    </xf>
    <xf numFmtId="0" fontId="35" fillId="0" borderId="0" xfId="0" applyFont="1"/>
    <xf numFmtId="0" fontId="34" fillId="0" borderId="0" xfId="0" applyFont="1" applyAlignment="1" applyProtection="1">
      <alignment horizontal="center"/>
    </xf>
    <xf numFmtId="0" fontId="34" fillId="0" borderId="0" xfId="0" applyFont="1" applyFill="1" applyBorder="1" applyAlignment="1" applyProtection="1">
      <alignment horizontal="center"/>
    </xf>
    <xf numFmtId="164" fontId="34" fillId="0" borderId="2" xfId="0" applyNumberFormat="1" applyFont="1" applyBorder="1" applyAlignment="1">
      <alignment horizontal="center"/>
    </xf>
    <xf numFmtId="167" fontId="34" fillId="0" borderId="0" xfId="0" applyNumberFormat="1" applyFont="1" applyAlignment="1" applyProtection="1">
      <alignment horizontal="center"/>
    </xf>
    <xf numFmtId="0" fontId="33" fillId="0" borderId="11" xfId="0" applyFont="1" applyBorder="1" applyAlignment="1">
      <alignment horizontal="center"/>
    </xf>
    <xf numFmtId="0" fontId="34" fillId="0" borderId="0" xfId="0" applyFont="1" applyAlignment="1" applyProtection="1"/>
    <xf numFmtId="0" fontId="34" fillId="0" borderId="0" xfId="0" applyFont="1" applyFill="1"/>
    <xf numFmtId="167" fontId="34" fillId="0" borderId="0" xfId="0" applyNumberFormat="1" applyFont="1" applyFill="1" applyBorder="1" applyAlignment="1" applyProtection="1">
      <alignment horizontal="center"/>
    </xf>
    <xf numFmtId="0" fontId="34" fillId="0" borderId="0" xfId="0" applyFont="1" applyAlignment="1"/>
    <xf numFmtId="0" fontId="34" fillId="0" borderId="0" xfId="0" applyFont="1" applyFill="1" applyBorder="1" applyAlignment="1" applyProtection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 applyFill="1" applyBorder="1" applyAlignment="1" applyProtection="1">
      <alignment horizontal="center" wrapText="1"/>
    </xf>
    <xf numFmtId="0" fontId="36" fillId="0" borderId="0" xfId="0" applyFont="1" applyFill="1" applyBorder="1"/>
    <xf numFmtId="0" fontId="7" fillId="0" borderId="0" xfId="0" applyFont="1" applyAlignment="1">
      <alignment horizontal="left"/>
    </xf>
    <xf numFmtId="0" fontId="7" fillId="0" borderId="0" xfId="0" applyFont="1" applyProtection="1"/>
    <xf numFmtId="1" fontId="7" fillId="0" borderId="2" xfId="0" applyNumberFormat="1" applyFont="1" applyFill="1" applyBorder="1" applyAlignment="1" applyProtection="1">
      <alignment horizontal="center"/>
    </xf>
    <xf numFmtId="2" fontId="7" fillId="0" borderId="0" xfId="0" applyNumberFormat="1" applyFont="1" applyFill="1" applyBorder="1" applyAlignment="1" applyProtection="1">
      <alignment horizontal="center"/>
    </xf>
    <xf numFmtId="164" fontId="7" fillId="0" borderId="0" xfId="0" applyNumberFormat="1" applyFont="1" applyAlignment="1" applyProtection="1">
      <alignment horizontal="center"/>
    </xf>
    <xf numFmtId="164" fontId="7" fillId="0" borderId="0" xfId="0" applyNumberFormat="1" applyFont="1" applyAlignment="1">
      <alignment horizontal="center"/>
    </xf>
    <xf numFmtId="164" fontId="7" fillId="0" borderId="0" xfId="0" applyNumberFormat="1" applyFont="1" applyFill="1" applyBorder="1" applyProtection="1"/>
    <xf numFmtId="0" fontId="37" fillId="0" borderId="0" xfId="0" applyFont="1" applyProtection="1"/>
    <xf numFmtId="0" fontId="37" fillId="0" borderId="0" xfId="0" applyFont="1"/>
    <xf numFmtId="1" fontId="7" fillId="0" borderId="0" xfId="0" applyNumberFormat="1" applyFont="1" applyAlignment="1" applyProtection="1">
      <alignment horizontal="center"/>
    </xf>
    <xf numFmtId="1" fontId="7" fillId="0" borderId="0" xfId="0" applyNumberFormat="1" applyFont="1" applyAlignment="1">
      <alignment horizontal="center"/>
    </xf>
    <xf numFmtId="1" fontId="7" fillId="0" borderId="0" xfId="0" applyNumberFormat="1" applyFont="1"/>
    <xf numFmtId="164" fontId="7" fillId="0" borderId="0" xfId="0" applyNumberFormat="1" applyFont="1"/>
    <xf numFmtId="164" fontId="7" fillId="0" borderId="0" xfId="0" applyNumberFormat="1" applyFont="1" applyAlignment="1" applyProtection="1">
      <alignment horizontal="right"/>
    </xf>
    <xf numFmtId="0" fontId="28" fillId="0" borderId="0" xfId="0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7" fillId="0" borderId="0" xfId="0" applyFont="1" applyFill="1" applyBorder="1" applyProtection="1"/>
    <xf numFmtId="165" fontId="8" fillId="0" borderId="0" xfId="0" applyNumberFormat="1" applyFont="1" applyAlignment="1">
      <alignment horizontal="right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168" fontId="8" fillId="0" borderId="0" xfId="0" applyNumberFormat="1" applyFont="1" applyAlignment="1">
      <alignment horizontal="right"/>
    </xf>
    <xf numFmtId="44" fontId="8" fillId="0" borderId="0" xfId="0" applyNumberFormat="1" applyFont="1" applyAlignment="1">
      <alignment horizontal="right"/>
    </xf>
    <xf numFmtId="0" fontId="8" fillId="0" borderId="0" xfId="0" applyFont="1" applyAlignment="1">
      <alignment wrapText="1"/>
    </xf>
    <xf numFmtId="164" fontId="38" fillId="0" borderId="2" xfId="1" applyNumberFormat="1" applyFont="1" applyFill="1" applyBorder="1" applyAlignment="1" applyProtection="1">
      <alignment horizontal="center"/>
    </xf>
    <xf numFmtId="0" fontId="10" fillId="0" borderId="0" xfId="0" applyFont="1" applyFill="1"/>
    <xf numFmtId="164" fontId="0" fillId="0" borderId="0" xfId="0" applyNumberFormat="1" applyAlignment="1">
      <alignment horizontal="center"/>
    </xf>
    <xf numFmtId="2" fontId="12" fillId="0" borderId="0" xfId="0" applyNumberFormat="1" applyFont="1" applyAlignment="1" applyProtection="1"/>
    <xf numFmtId="0" fontId="12" fillId="0" borderId="0" xfId="0" applyNumberFormat="1" applyFont="1" applyProtection="1"/>
    <xf numFmtId="0" fontId="12" fillId="0" borderId="0" xfId="0" applyNumberFormat="1" applyFont="1" applyFill="1" applyBorder="1" applyProtection="1"/>
    <xf numFmtId="0" fontId="11" fillId="0" borderId="0" xfId="0" applyNumberFormat="1" applyFont="1" applyFill="1" applyBorder="1" applyAlignment="1" applyProtection="1">
      <alignment horizontal="center"/>
    </xf>
    <xf numFmtId="0" fontId="17" fillId="0" borderId="0" xfId="0" applyNumberFormat="1" applyFont="1" applyFill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horizontal="center"/>
    </xf>
    <xf numFmtId="0" fontId="17" fillId="0" borderId="0" xfId="0" applyNumberFormat="1" applyFont="1" applyFill="1" applyBorder="1" applyAlignment="1">
      <alignment horizontal="center"/>
    </xf>
    <xf numFmtId="0" fontId="17" fillId="0" borderId="0" xfId="0" applyNumberFormat="1" applyFont="1" applyBorder="1" applyAlignment="1">
      <alignment horizontal="center"/>
    </xf>
    <xf numFmtId="0" fontId="17" fillId="0" borderId="0" xfId="0" applyNumberFormat="1" applyFont="1" applyAlignment="1">
      <alignment horizontal="center"/>
    </xf>
    <xf numFmtId="0" fontId="17" fillId="0" borderId="0" xfId="0" applyNumberFormat="1" applyFont="1"/>
    <xf numFmtId="0" fontId="0" fillId="0" borderId="0" xfId="0" applyNumberFormat="1"/>
    <xf numFmtId="164" fontId="10" fillId="0" borderId="0" xfId="0" applyNumberFormat="1" applyFont="1" applyFill="1" applyAlignment="1" applyProtection="1">
      <alignment horizontal="center"/>
    </xf>
    <xf numFmtId="165" fontId="12" fillId="0" borderId="0" xfId="0" applyNumberFormat="1" applyFont="1" applyFill="1" applyBorder="1" applyAlignment="1" applyProtection="1">
      <alignment horizontal="center"/>
    </xf>
    <xf numFmtId="165" fontId="0" fillId="0" borderId="0" xfId="0" applyNumberFormat="1" applyFill="1" applyBorder="1" applyAlignment="1">
      <alignment horizontal="center"/>
    </xf>
    <xf numFmtId="1" fontId="7" fillId="0" borderId="0" xfId="0" applyNumberFormat="1" applyFont="1" applyBorder="1" applyAlignment="1" applyProtection="1">
      <alignment horizontal="left"/>
    </xf>
    <xf numFmtId="165" fontId="39" fillId="0" borderId="0" xfId="1" applyNumberFormat="1" applyFill="1" applyBorder="1" applyProtection="1"/>
    <xf numFmtId="0" fontId="38" fillId="0" borderId="2" xfId="1" applyFont="1" applyFill="1" applyBorder="1" applyAlignment="1" applyProtection="1">
      <alignment horizontal="center"/>
    </xf>
    <xf numFmtId="166" fontId="12" fillId="0" borderId="0" xfId="0" applyNumberFormat="1" applyFont="1" applyProtection="1"/>
    <xf numFmtId="1" fontId="12" fillId="0" borderId="0" xfId="0" applyNumberFormat="1" applyFont="1" applyFill="1" applyBorder="1" applyAlignment="1" applyProtection="1">
      <alignment horizontal="center"/>
    </xf>
    <xf numFmtId="44" fontId="12" fillId="0" borderId="0" xfId="2" applyFont="1" applyFill="1" applyBorder="1" applyAlignment="1" applyProtection="1">
      <alignment horizontal="center"/>
    </xf>
    <xf numFmtId="44" fontId="0" fillId="0" borderId="0" xfId="2" applyFont="1"/>
    <xf numFmtId="169" fontId="12" fillId="0" borderId="0" xfId="0" applyNumberFormat="1" applyFont="1" applyFill="1" applyBorder="1" applyAlignment="1" applyProtection="1">
      <alignment horizontal="center"/>
    </xf>
    <xf numFmtId="164" fontId="33" fillId="0" borderId="0" xfId="0" applyNumberFormat="1" applyFont="1" applyBorder="1" applyAlignment="1" applyProtection="1">
      <alignment horizontal="center"/>
    </xf>
    <xf numFmtId="0" fontId="34" fillId="0" borderId="0" xfId="0" applyFont="1" applyBorder="1"/>
    <xf numFmtId="0" fontId="34" fillId="0" borderId="0" xfId="0" applyFont="1" applyFill="1" applyBorder="1"/>
    <xf numFmtId="0" fontId="33" fillId="0" borderId="0" xfId="0" applyFont="1" applyBorder="1" applyAlignment="1" applyProtection="1">
      <alignment horizontal="center"/>
    </xf>
    <xf numFmtId="1" fontId="33" fillId="0" borderId="0" xfId="0" applyNumberFormat="1" applyFont="1" applyBorder="1" applyAlignment="1" applyProtection="1">
      <alignment horizontal="center"/>
    </xf>
    <xf numFmtId="1" fontId="7" fillId="0" borderId="0" xfId="0" applyNumberFormat="1" applyFont="1" applyBorder="1" applyAlignment="1" applyProtection="1">
      <alignment horizontal="center"/>
    </xf>
    <xf numFmtId="164" fontId="33" fillId="0" borderId="0" xfId="0" applyNumberFormat="1" applyFont="1" applyFill="1" applyBorder="1" applyAlignment="1" applyProtection="1">
      <alignment horizontal="center"/>
    </xf>
    <xf numFmtId="164" fontId="33" fillId="0" borderId="0" xfId="0" applyNumberFormat="1" applyFont="1" applyAlignment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" fontId="0" fillId="0" borderId="0" xfId="0" applyNumberForma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left"/>
    </xf>
    <xf numFmtId="2" fontId="34" fillId="0" borderId="0" xfId="0" applyNumberFormat="1" applyFont="1" applyFill="1" applyBorder="1" applyAlignment="1" applyProtection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2" xfId="0" applyFont="1" applyFill="1" applyBorder="1" applyAlignment="1">
      <alignment horizontal="center"/>
    </xf>
    <xf numFmtId="0" fontId="44" fillId="0" borderId="0" xfId="0" applyFont="1"/>
    <xf numFmtId="1" fontId="34" fillId="0" borderId="0" xfId="0" applyNumberFormat="1" applyFont="1" applyAlignment="1">
      <alignment horizontal="center"/>
    </xf>
    <xf numFmtId="2" fontId="8" fillId="0" borderId="0" xfId="0" applyNumberFormat="1" applyFont="1" applyFill="1" applyAlignment="1" applyProtection="1">
      <alignment horizontal="center"/>
    </xf>
    <xf numFmtId="165" fontId="7" fillId="0" borderId="0" xfId="0" applyNumberFormat="1" applyFont="1" applyFill="1" applyBorder="1" applyProtection="1"/>
    <xf numFmtId="2" fontId="7" fillId="0" borderId="0" xfId="0" applyNumberFormat="1" applyFont="1"/>
    <xf numFmtId="165" fontId="38" fillId="0" borderId="0" xfId="1" applyNumberFormat="1" applyFont="1" applyFill="1" applyBorder="1" applyProtection="1"/>
    <xf numFmtId="0" fontId="34" fillId="0" borderId="0" xfId="0" applyFont="1" applyFill="1" applyBorder="1" applyAlignment="1">
      <alignment horizontal="center"/>
    </xf>
    <xf numFmtId="164" fontId="8" fillId="0" borderId="2" xfId="0" applyNumberFormat="1" applyFont="1" applyBorder="1" applyAlignment="1" applyProtection="1">
      <alignment horizontal="center"/>
    </xf>
    <xf numFmtId="1" fontId="7" fillId="0" borderId="0" xfId="0" applyNumberFormat="1" applyFont="1" applyBorder="1" applyAlignment="1" applyProtection="1">
      <alignment horizontal="right"/>
    </xf>
    <xf numFmtId="164" fontId="8" fillId="0" borderId="0" xfId="0" applyNumberFormat="1" applyFont="1" applyFill="1" applyAlignment="1" applyProtection="1">
      <alignment horizontal="center"/>
    </xf>
    <xf numFmtId="0" fontId="33" fillId="0" borderId="0" xfId="0" applyFont="1" applyFill="1" applyBorder="1" applyProtection="1"/>
    <xf numFmtId="0" fontId="13" fillId="0" borderId="0" xfId="0" applyFont="1" applyAlignment="1">
      <alignment horizontal="left"/>
    </xf>
    <xf numFmtId="0" fontId="34" fillId="0" borderId="0" xfId="0" applyFont="1" applyBorder="1" applyAlignment="1">
      <alignment horizontal="left" wrapText="1"/>
    </xf>
    <xf numFmtId="1" fontId="34" fillId="0" borderId="0" xfId="0" applyNumberFormat="1" applyFont="1" applyBorder="1" applyAlignment="1" applyProtection="1">
      <alignment horizontal="left"/>
    </xf>
    <xf numFmtId="0" fontId="7" fillId="0" borderId="0" xfId="0" applyFont="1" applyFill="1" applyBorder="1"/>
    <xf numFmtId="164" fontId="7" fillId="0" borderId="0" xfId="0" applyNumberFormat="1" applyFont="1" applyBorder="1" applyAlignment="1" applyProtection="1">
      <alignment horizontal="left"/>
    </xf>
    <xf numFmtId="0" fontId="43" fillId="0" borderId="0" xfId="0" applyFont="1" applyFill="1" applyBorder="1" applyAlignment="1" applyProtection="1">
      <alignment horizontal="center" wrapText="1"/>
    </xf>
    <xf numFmtId="0" fontId="42" fillId="0" borderId="0" xfId="0" applyFont="1" applyAlignment="1"/>
    <xf numFmtId="0" fontId="42" fillId="0" borderId="0" xfId="0" applyFont="1"/>
    <xf numFmtId="0" fontId="7" fillId="0" borderId="2" xfId="0" applyFont="1" applyBorder="1" applyAlignment="1"/>
    <xf numFmtId="0" fontId="0" fillId="0" borderId="2" xfId="0" applyBorder="1" applyAlignment="1"/>
    <xf numFmtId="164" fontId="10" fillId="0" borderId="0" xfId="0" applyNumberFormat="1" applyFont="1" applyAlignment="1">
      <alignment horizontal="center"/>
    </xf>
    <xf numFmtId="164" fontId="38" fillId="0" borderId="2" xfId="1" applyNumberFormat="1" applyFont="1" applyFill="1" applyBorder="1" applyAlignment="1">
      <alignment horizontal="center"/>
    </xf>
    <xf numFmtId="0" fontId="29" fillId="0" borderId="0" xfId="0" applyFont="1" applyAlignment="1">
      <alignment horizontal="left" indent="12"/>
    </xf>
    <xf numFmtId="2" fontId="8" fillId="0" borderId="0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2" fontId="8" fillId="0" borderId="3" xfId="0" applyNumberFormat="1" applyFont="1" applyBorder="1" applyAlignment="1">
      <alignment horizontal="centerContinuous"/>
    </xf>
    <xf numFmtId="2" fontId="0" fillId="0" borderId="3" xfId="0" applyNumberFormat="1" applyBorder="1" applyAlignment="1">
      <alignment horizontal="centerContinuous"/>
    </xf>
    <xf numFmtId="2" fontId="0" fillId="0" borderId="6" xfId="0" applyNumberFormat="1" applyBorder="1"/>
    <xf numFmtId="2" fontId="8" fillId="0" borderId="9" xfId="0" applyNumberFormat="1" applyFont="1" applyBorder="1" applyAlignment="1">
      <alignment horizontal="center" vertical="center" wrapText="1"/>
    </xf>
    <xf numFmtId="2" fontId="0" fillId="0" borderId="2" xfId="0" applyNumberFormat="1" applyBorder="1"/>
    <xf numFmtId="2" fontId="17" fillId="0" borderId="0" xfId="0" applyNumberFormat="1" applyFont="1" applyFill="1" applyBorder="1" applyAlignment="1">
      <alignment horizontal="center"/>
    </xf>
    <xf numFmtId="2" fontId="17" fillId="0" borderId="0" xfId="0" applyNumberFormat="1" applyFont="1" applyBorder="1" applyAlignment="1">
      <alignment horizontal="center"/>
    </xf>
    <xf numFmtId="2" fontId="17" fillId="0" borderId="0" xfId="0" applyNumberFormat="1" applyFont="1" applyAlignment="1">
      <alignment horizontal="center"/>
    </xf>
    <xf numFmtId="2" fontId="17" fillId="0" borderId="0" xfId="0" applyNumberFormat="1" applyFont="1"/>
    <xf numFmtId="2" fontId="0" fillId="0" borderId="0" xfId="0" applyNumberFormat="1"/>
    <xf numFmtId="0" fontId="45" fillId="0" borderId="0" xfId="0" applyFont="1" applyFill="1" applyAlignment="1" applyProtection="1">
      <alignment horizontal="center"/>
    </xf>
    <xf numFmtId="0" fontId="45" fillId="0" borderId="0" xfId="0" applyFont="1" applyFill="1" applyAlignment="1">
      <alignment horizontal="center"/>
    </xf>
    <xf numFmtId="2" fontId="45" fillId="0" borderId="0" xfId="0" applyNumberFormat="1" applyFont="1" applyFill="1" applyAlignment="1" applyProtection="1">
      <alignment horizontal="center"/>
    </xf>
    <xf numFmtId="0" fontId="46" fillId="0" borderId="0" xfId="0" applyFont="1" applyFill="1" applyAlignment="1">
      <alignment horizontal="center"/>
    </xf>
    <xf numFmtId="164" fontId="47" fillId="0" borderId="2" xfId="1" applyNumberFormat="1" applyFont="1" applyFill="1" applyBorder="1" applyAlignment="1" applyProtection="1">
      <alignment horizontal="center"/>
    </xf>
    <xf numFmtId="0" fontId="38" fillId="0" borderId="0" xfId="1" applyFont="1" applyFill="1" applyBorder="1"/>
    <xf numFmtId="0" fontId="48" fillId="0" borderId="0" xfId="0" applyFont="1" applyBorder="1"/>
    <xf numFmtId="0" fontId="48" fillId="0" borderId="0" xfId="0" applyFont="1" applyBorder="1" applyAlignment="1">
      <alignment horizontal="center"/>
    </xf>
    <xf numFmtId="170" fontId="7" fillId="0" borderId="0" xfId="0" applyNumberFormat="1" applyFont="1" applyAlignment="1" applyProtection="1">
      <alignment horizontal="center"/>
    </xf>
    <xf numFmtId="170" fontId="10" fillId="0" borderId="0" xfId="0" applyNumberFormat="1" applyFont="1" applyAlignment="1" applyProtection="1">
      <alignment horizontal="center"/>
    </xf>
    <xf numFmtId="0" fontId="32" fillId="0" borderId="0" xfId="3" applyFont="1" applyBorder="1" applyAlignment="1">
      <alignment horizontal="left" wrapText="1"/>
    </xf>
    <xf numFmtId="0" fontId="39" fillId="0" borderId="2" xfId="1" applyFont="1" applyFill="1" applyBorder="1" applyAlignment="1" applyProtection="1">
      <alignment horizontal="center"/>
    </xf>
    <xf numFmtId="0" fontId="50" fillId="0" borderId="0" xfId="0" applyFont="1" applyFill="1" applyAlignment="1" applyProtection="1">
      <alignment horizontal="center"/>
    </xf>
    <xf numFmtId="0" fontId="51" fillId="0" borderId="0" xfId="0" applyFont="1" applyAlignment="1">
      <alignment horizontal="left"/>
    </xf>
    <xf numFmtId="0" fontId="52" fillId="0" borderId="0" xfId="0" applyFont="1"/>
    <xf numFmtId="0" fontId="51" fillId="0" borderId="0" xfId="0" applyFont="1"/>
    <xf numFmtId="0" fontId="53" fillId="0" borderId="0" xfId="0" applyFont="1"/>
    <xf numFmtId="0" fontId="51" fillId="0" borderId="0" xfId="0" applyFont="1" applyProtection="1"/>
    <xf numFmtId="0" fontId="41" fillId="0" borderId="0" xfId="1" applyFont="1" applyFill="1" applyAlignment="1" applyProtection="1">
      <alignment horizontal="center"/>
    </xf>
    <xf numFmtId="0" fontId="34" fillId="0" borderId="0" xfId="0" applyFont="1" applyFill="1" applyBorder="1" applyProtection="1"/>
    <xf numFmtId="2" fontId="54" fillId="0" borderId="0" xfId="0" applyNumberFormat="1" applyFont="1" applyFill="1" applyBorder="1" applyAlignment="1" applyProtection="1">
      <alignment horizontal="center"/>
    </xf>
    <xf numFmtId="2" fontId="29" fillId="0" borderId="0" xfId="0" applyNumberFormat="1" applyFont="1" applyAlignment="1"/>
    <xf numFmtId="2" fontId="30" fillId="0" borderId="0" xfId="0" applyNumberFormat="1" applyFont="1" applyAlignment="1"/>
    <xf numFmtId="0" fontId="7" fillId="0" borderId="2" xfId="0" applyFont="1" applyBorder="1" applyAlignment="1">
      <alignment horizontal="center"/>
    </xf>
    <xf numFmtId="0" fontId="38" fillId="0" borderId="0" xfId="1" applyFont="1" applyFill="1" applyAlignment="1" applyProtection="1">
      <alignment horizontal="center"/>
    </xf>
    <xf numFmtId="164" fontId="38" fillId="0" borderId="2" xfId="1" applyNumberFormat="1" applyFont="1" applyFill="1" applyBorder="1" applyAlignment="1">
      <alignment horizontal="center" vertical="top" wrapText="1"/>
    </xf>
    <xf numFmtId="0" fontId="0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quotePrefix="1" applyFont="1" applyAlignment="1">
      <alignment horizontal="center"/>
    </xf>
    <xf numFmtId="2" fontId="7" fillId="0" borderId="0" xfId="0" applyNumberFormat="1" applyFont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49" fillId="0" borderId="0" xfId="0" applyFont="1"/>
    <xf numFmtId="0" fontId="55" fillId="0" borderId="0" xfId="0" applyFont="1" applyAlignment="1" applyProtection="1">
      <alignment horizontal="left"/>
    </xf>
    <xf numFmtId="0" fontId="55" fillId="0" borderId="0" xfId="0" applyFont="1" applyProtection="1"/>
    <xf numFmtId="0" fontId="8" fillId="0" borderId="0" xfId="0" applyFont="1" applyFill="1" applyBorder="1" applyAlignment="1" applyProtection="1">
      <alignment horizontal="left"/>
    </xf>
    <xf numFmtId="1" fontId="8" fillId="0" borderId="0" xfId="0" applyNumberFormat="1" applyFont="1" applyBorder="1" applyAlignment="1" applyProtection="1">
      <alignment horizontal="right"/>
    </xf>
    <xf numFmtId="0" fontId="51" fillId="0" borderId="0" xfId="0" applyFont="1" applyAlignment="1">
      <alignment horizontal="left" wrapText="1"/>
    </xf>
    <xf numFmtId="164" fontId="56" fillId="0" borderId="2" xfId="0" applyNumberFormat="1" applyFont="1" applyBorder="1" applyAlignment="1">
      <alignment horizontal="center"/>
    </xf>
    <xf numFmtId="164" fontId="56" fillId="0" borderId="13" xfId="0" applyNumberFormat="1" applyFont="1" applyBorder="1" applyAlignment="1">
      <alignment horizontal="center"/>
    </xf>
    <xf numFmtId="164" fontId="56" fillId="0" borderId="12" xfId="0" applyNumberFormat="1" applyFont="1" applyBorder="1" applyAlignment="1">
      <alignment horizontal="center"/>
    </xf>
    <xf numFmtId="164" fontId="56" fillId="0" borderId="14" xfId="0" applyNumberFormat="1" applyFont="1" applyBorder="1" applyAlignment="1">
      <alignment horizontal="center"/>
    </xf>
    <xf numFmtId="0" fontId="16" fillId="0" borderId="0" xfId="0" applyFont="1" applyAlignment="1" applyProtection="1"/>
    <xf numFmtId="164" fontId="8" fillId="0" borderId="0" xfId="0" applyNumberFormat="1" applyFont="1"/>
    <xf numFmtId="164" fontId="38" fillId="0" borderId="2" xfId="1" applyNumberFormat="1" applyFont="1" applyFill="1" applyBorder="1" applyAlignment="1">
      <alignment horizontal="center" wrapText="1"/>
    </xf>
    <xf numFmtId="0" fontId="7" fillId="0" borderId="12" xfId="0" applyFont="1" applyBorder="1" applyAlignment="1">
      <alignment horizontal="center"/>
    </xf>
    <xf numFmtId="0" fontId="57" fillId="0" borderId="2" xfId="0" applyFont="1" applyBorder="1" applyAlignment="1">
      <alignment horizontal="center"/>
    </xf>
    <xf numFmtId="1" fontId="8" fillId="0" borderId="0" xfId="0" applyNumberFormat="1" applyFont="1" applyAlignment="1">
      <alignment horizontal="center"/>
    </xf>
    <xf numFmtId="164" fontId="7" fillId="0" borderId="13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0" fontId="57" fillId="0" borderId="0" xfId="0" applyFont="1" applyAlignment="1">
      <alignment horizontal="center"/>
    </xf>
    <xf numFmtId="0" fontId="57" fillId="0" borderId="0" xfId="0" applyFont="1" applyAlignment="1">
      <alignment horizontal="center" wrapText="1"/>
    </xf>
    <xf numFmtId="2" fontId="7" fillId="0" borderId="14" xfId="0" applyNumberFormat="1" applyFont="1" applyBorder="1" applyAlignment="1">
      <alignment horizontal="center"/>
    </xf>
    <xf numFmtId="0" fontId="57" fillId="0" borderId="0" xfId="0" applyFont="1" applyAlignment="1">
      <alignment horizontal="center" vertical="center"/>
    </xf>
    <xf numFmtId="167" fontId="58" fillId="0" borderId="0" xfId="0" applyNumberFormat="1" applyFont="1" applyAlignment="1">
      <alignment horizontal="center"/>
    </xf>
    <xf numFmtId="164" fontId="58" fillId="0" borderId="0" xfId="0" applyNumberFormat="1" applyFont="1" applyAlignment="1">
      <alignment horizontal="center"/>
    </xf>
    <xf numFmtId="2" fontId="59" fillId="0" borderId="0" xfId="0" applyNumberFormat="1" applyFont="1" applyAlignment="1">
      <alignment horizontal="center"/>
    </xf>
    <xf numFmtId="0" fontId="60" fillId="0" borderId="2" xfId="0" applyFont="1" applyBorder="1"/>
    <xf numFmtId="0" fontId="13" fillId="0" borderId="0" xfId="0" applyFont="1"/>
    <xf numFmtId="2" fontId="56" fillId="0" borderId="14" xfId="0" applyNumberFormat="1" applyFont="1" applyBorder="1" applyAlignment="1">
      <alignment horizontal="center"/>
    </xf>
    <xf numFmtId="2" fontId="7" fillId="0" borderId="12" xfId="0" applyNumberFormat="1" applyFont="1" applyBorder="1"/>
    <xf numFmtId="2" fontId="7" fillId="0" borderId="12" xfId="0" applyNumberFormat="1" applyFont="1" applyBorder="1" applyAlignment="1">
      <alignment horizontal="right"/>
    </xf>
    <xf numFmtId="0" fontId="59" fillId="0" borderId="0" xfId="0" applyFont="1" applyAlignment="1">
      <alignment horizontal="center"/>
    </xf>
    <xf numFmtId="0" fontId="57" fillId="0" borderId="0" xfId="0" applyFont="1" applyAlignment="1">
      <alignment horizontal="left"/>
    </xf>
    <xf numFmtId="0" fontId="42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42" fillId="0" borderId="12" xfId="0" applyFont="1" applyBorder="1" applyAlignment="1"/>
    <xf numFmtId="0" fontId="7" fillId="0" borderId="2" xfId="0" applyFont="1" applyBorder="1" applyAlignment="1">
      <alignment horizontal="center" wrapText="1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7" fillId="0" borderId="0" xfId="0" applyNumberFormat="1" applyFont="1" applyFill="1" applyAlignment="1" applyProtection="1">
      <alignment horizontal="center"/>
    </xf>
    <xf numFmtId="0" fontId="61" fillId="0" borderId="0" xfId="0" applyFont="1" applyFill="1" applyAlignment="1">
      <alignment horizontal="center"/>
    </xf>
    <xf numFmtId="0" fontId="47" fillId="0" borderId="2" xfId="1" applyFont="1" applyFill="1" applyBorder="1" applyAlignment="1" applyProtection="1">
      <alignment horizontal="center"/>
    </xf>
    <xf numFmtId="0" fontId="47" fillId="0" borderId="2" xfId="1" applyFont="1" applyFill="1" applyBorder="1" applyAlignment="1">
      <alignment horizontal="center"/>
    </xf>
    <xf numFmtId="166" fontId="0" fillId="0" borderId="2" xfId="0" applyNumberFormat="1" applyBorder="1"/>
    <xf numFmtId="0" fontId="0" fillId="0" borderId="2" xfId="0" applyBorder="1"/>
    <xf numFmtId="0" fontId="0" fillId="0" borderId="10" xfId="0" applyBorder="1"/>
    <xf numFmtId="0" fontId="0" fillId="0" borderId="19" xfId="0" applyBorder="1"/>
    <xf numFmtId="0" fontId="8" fillId="0" borderId="0" xfId="0" applyFont="1" applyAlignment="1">
      <alignment horizontal="left"/>
    </xf>
    <xf numFmtId="0" fontId="5" fillId="4" borderId="2" xfId="0" applyFont="1" applyFill="1" applyBorder="1"/>
    <xf numFmtId="0" fontId="62" fillId="4" borderId="2" xfId="0" applyFont="1" applyFill="1" applyBorder="1"/>
    <xf numFmtId="49" fontId="5" fillId="4" borderId="2" xfId="0" applyNumberFormat="1" applyFont="1" applyFill="1" applyBorder="1"/>
    <xf numFmtId="0" fontId="8" fillId="0" borderId="0" xfId="0" applyFont="1" applyAlignment="1" applyProtection="1">
      <alignment wrapText="1"/>
    </xf>
    <xf numFmtId="0" fontId="41" fillId="4" borderId="0" xfId="0" applyFont="1" applyFill="1" applyBorder="1"/>
    <xf numFmtId="0" fontId="42" fillId="0" borderId="2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1" fontId="28" fillId="0" borderId="0" xfId="0" applyNumberFormat="1" applyFont="1" applyAlignment="1">
      <alignment horizontal="center"/>
    </xf>
    <xf numFmtId="1" fontId="7" fillId="0" borderId="12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1" fontId="42" fillId="0" borderId="2" xfId="0" applyNumberFormat="1" applyFont="1" applyBorder="1" applyAlignment="1">
      <alignment horizontal="center"/>
    </xf>
    <xf numFmtId="1" fontId="34" fillId="0" borderId="2" xfId="0" applyNumberFormat="1" applyFont="1" applyBorder="1" applyAlignment="1">
      <alignment horizontal="center"/>
    </xf>
    <xf numFmtId="1" fontId="10" fillId="0" borderId="0" xfId="0" applyNumberFormat="1" applyFont="1" applyAlignment="1">
      <alignment horizontal="center"/>
    </xf>
    <xf numFmtId="44" fontId="14" fillId="0" borderId="0" xfId="0" applyNumberFormat="1" applyFont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left" wrapText="1"/>
    </xf>
    <xf numFmtId="0" fontId="64" fillId="0" borderId="2" xfId="0" applyFont="1" applyBorder="1" applyAlignment="1">
      <alignment horizontal="center"/>
    </xf>
    <xf numFmtId="1" fontId="64" fillId="0" borderId="2" xfId="0" applyNumberFormat="1" applyFont="1" applyBorder="1" applyAlignment="1">
      <alignment horizontal="center"/>
    </xf>
    <xf numFmtId="0" fontId="65" fillId="0" borderId="2" xfId="5" applyFont="1" applyBorder="1" applyAlignment="1"/>
    <xf numFmtId="164" fontId="13" fillId="0" borderId="0" xfId="0" applyNumberFormat="1" applyFont="1" applyProtection="1"/>
    <xf numFmtId="164" fontId="0" fillId="0" borderId="0" xfId="0" applyNumberFormat="1" applyProtection="1"/>
    <xf numFmtId="164" fontId="8" fillId="0" borderId="0" xfId="0" applyNumberFormat="1" applyFont="1" applyProtection="1"/>
    <xf numFmtId="164" fontId="0" fillId="0" borderId="0" xfId="0" applyNumberFormat="1" applyFill="1" applyBorder="1" applyProtection="1"/>
    <xf numFmtId="164" fontId="11" fillId="0" borderId="0" xfId="0" applyNumberFormat="1" applyFont="1" applyFill="1" applyBorder="1" applyAlignment="1" applyProtection="1">
      <alignment horizontal="center" wrapText="1"/>
    </xf>
    <xf numFmtId="164" fontId="4" fillId="0" borderId="2" xfId="1" applyNumberFormat="1" applyFont="1" applyFill="1" applyBorder="1" applyAlignment="1" applyProtection="1">
      <alignment horizontal="center"/>
    </xf>
    <xf numFmtId="0" fontId="7" fillId="0" borderId="2" xfId="0" applyFont="1" applyBorder="1"/>
    <xf numFmtId="164" fontId="4" fillId="0" borderId="2" xfId="1" applyNumberFormat="1" applyFont="1" applyFill="1" applyBorder="1" applyAlignment="1">
      <alignment horizontal="center"/>
    </xf>
    <xf numFmtId="44" fontId="8" fillId="0" borderId="0" xfId="6" applyFont="1" applyAlignment="1">
      <alignment horizontal="right"/>
    </xf>
    <xf numFmtId="1" fontId="8" fillId="0" borderId="0" xfId="0" applyNumberFormat="1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7" fillId="0" borderId="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2" fontId="56" fillId="3" borderId="12" xfId="4" applyNumberFormat="1" applyFont="1" applyFill="1" applyBorder="1" applyAlignment="1">
      <alignment horizontal="center"/>
    </xf>
    <xf numFmtId="2" fontId="59" fillId="0" borderId="2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2" fontId="59" fillId="0" borderId="10" xfId="0" applyNumberFormat="1" applyFont="1" applyBorder="1" applyAlignment="1">
      <alignment horizontal="center"/>
    </xf>
    <xf numFmtId="164" fontId="38" fillId="0" borderId="8" xfId="1" applyNumberFormat="1" applyFont="1" applyFill="1" applyBorder="1" applyAlignment="1">
      <alignment horizontal="center"/>
    </xf>
    <xf numFmtId="0" fontId="7" fillId="0" borderId="8" xfId="0" applyFont="1" applyBorder="1"/>
    <xf numFmtId="0" fontId="38" fillId="0" borderId="8" xfId="1" applyFont="1" applyFill="1" applyBorder="1" applyAlignment="1">
      <alignment horizontal="left" wrapText="1"/>
    </xf>
    <xf numFmtId="2" fontId="7" fillId="0" borderId="20" xfId="0" applyNumberFormat="1" applyFont="1" applyBorder="1" applyAlignment="1">
      <alignment horizontal="right"/>
    </xf>
    <xf numFmtId="2" fontId="58" fillId="0" borderId="2" xfId="0" applyNumberFormat="1" applyFont="1" applyBorder="1"/>
    <xf numFmtId="164" fontId="59" fillId="0" borderId="2" xfId="0" applyNumberFormat="1" applyFont="1" applyBorder="1" applyAlignment="1">
      <alignment horizontal="center"/>
    </xf>
    <xf numFmtId="2" fontId="59" fillId="0" borderId="20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right"/>
    </xf>
    <xf numFmtId="0" fontId="38" fillId="0" borderId="0" xfId="1" applyFont="1" applyFill="1" applyBorder="1" applyAlignment="1" applyProtection="1">
      <alignment horizontal="center"/>
    </xf>
    <xf numFmtId="0" fontId="49" fillId="0" borderId="0" xfId="1" applyFont="1" applyFill="1" applyBorder="1" applyAlignment="1"/>
    <xf numFmtId="166" fontId="0" fillId="0" borderId="21" xfId="0" applyNumberFormat="1" applyBorder="1"/>
    <xf numFmtId="2" fontId="7" fillId="0" borderId="2" xfId="0" applyNumberFormat="1" applyFont="1" applyBorder="1"/>
    <xf numFmtId="164" fontId="38" fillId="0" borderId="2" xfId="1" applyNumberFormat="1" applyFont="1" applyFill="1" applyBorder="1" applyAlignment="1" applyProtection="1">
      <alignment horizontal="center"/>
    </xf>
    <xf numFmtId="2" fontId="7" fillId="3" borderId="2" xfId="4" applyNumberFormat="1" applyFont="1" applyFill="1" applyBorder="1" applyAlignment="1">
      <alignment horizontal="center"/>
    </xf>
    <xf numFmtId="2" fontId="7" fillId="3" borderId="12" xfId="4" applyNumberFormat="1" applyFont="1" applyFill="1" applyBorder="1" applyAlignment="1">
      <alignment horizontal="center"/>
    </xf>
    <xf numFmtId="170" fontId="7" fillId="0" borderId="2" xfId="4" applyNumberFormat="1" applyFont="1" applyBorder="1" applyAlignment="1">
      <alignment horizontal="center"/>
    </xf>
    <xf numFmtId="170" fontId="7" fillId="0" borderId="12" xfId="4" applyNumberFormat="1" applyFont="1" applyBorder="1" applyAlignment="1">
      <alignment horizontal="center"/>
    </xf>
    <xf numFmtId="2" fontId="7" fillId="0" borderId="14" xfId="4" applyNumberFormat="1" applyFont="1" applyBorder="1" applyAlignment="1">
      <alignment horizontal="center"/>
    </xf>
    <xf numFmtId="166" fontId="7" fillId="0" borderId="2" xfId="4" applyNumberFormat="1" applyBorder="1"/>
    <xf numFmtId="166" fontId="7" fillId="0" borderId="15" xfId="4" applyNumberFormat="1" applyBorder="1"/>
    <xf numFmtId="166" fontId="7" fillId="0" borderId="16" xfId="4" applyNumberFormat="1" applyBorder="1"/>
    <xf numFmtId="0" fontId="7" fillId="0" borderId="17" xfId="4" applyBorder="1"/>
    <xf numFmtId="0" fontId="7" fillId="0" borderId="10" xfId="4" applyBorder="1"/>
    <xf numFmtId="0" fontId="7" fillId="0" borderId="18" xfId="4" applyBorder="1"/>
    <xf numFmtId="0" fontId="7" fillId="0" borderId="0" xfId="4" applyFont="1" applyAlignment="1">
      <alignment horizontal="left"/>
    </xf>
    <xf numFmtId="0" fontId="7" fillId="0" borderId="0" xfId="4" applyFont="1" applyAlignment="1">
      <alignment horizontal="left" wrapText="1"/>
    </xf>
    <xf numFmtId="170" fontId="8" fillId="0" borderId="0" xfId="0" applyNumberFormat="1" applyFont="1" applyAlignment="1" applyProtection="1">
      <alignment horizontal="center"/>
    </xf>
    <xf numFmtId="2" fontId="7" fillId="0" borderId="0" xfId="4" applyNumberFormat="1" applyFont="1" applyFill="1" applyBorder="1" applyAlignment="1" applyProtection="1">
      <alignment horizontal="center"/>
    </xf>
    <xf numFmtId="0" fontId="5" fillId="4" borderId="2" xfId="0" applyFont="1" applyFill="1" applyBorder="1" applyAlignment="1">
      <alignment horizontal="center" wrapText="1"/>
    </xf>
    <xf numFmtId="0" fontId="62" fillId="4" borderId="2" xfId="0" applyFont="1" applyFill="1" applyBorder="1" applyAlignment="1">
      <alignment horizontal="center" wrapText="1"/>
    </xf>
    <xf numFmtId="49" fontId="5" fillId="4" borderId="2" xfId="0" applyNumberFormat="1" applyFont="1" applyFill="1" applyBorder="1" applyAlignment="1">
      <alignment horizontal="center" wrapText="1"/>
    </xf>
    <xf numFmtId="1" fontId="5" fillId="4" borderId="2" xfId="0" applyNumberFormat="1" applyFont="1" applyFill="1" applyBorder="1" applyAlignment="1">
      <alignment horizontal="center" wrapText="1"/>
    </xf>
    <xf numFmtId="164" fontId="9" fillId="0" borderId="0" xfId="0" applyNumberFormat="1" applyFont="1" applyProtection="1"/>
    <xf numFmtId="164" fontId="57" fillId="0" borderId="0" xfId="0" applyNumberFormat="1" applyFont="1" applyAlignment="1">
      <alignment horizontal="center"/>
    </xf>
    <xf numFmtId="164" fontId="56" fillId="3" borderId="2" xfId="0" applyNumberFormat="1" applyFont="1" applyFill="1" applyBorder="1" applyAlignment="1">
      <alignment horizontal="center"/>
    </xf>
    <xf numFmtId="164" fontId="56" fillId="3" borderId="12" xfId="0" applyNumberFormat="1" applyFont="1" applyFill="1" applyBorder="1" applyAlignment="1">
      <alignment horizontal="center"/>
    </xf>
    <xf numFmtId="164" fontId="8" fillId="0" borderId="0" xfId="0" applyNumberFormat="1" applyFont="1" applyBorder="1" applyAlignment="1" applyProtection="1">
      <alignment horizontal="center" wrapText="1"/>
    </xf>
    <xf numFmtId="164" fontId="0" fillId="0" borderId="0" xfId="0" applyNumberFormat="1" applyBorder="1" applyAlignment="1" applyProtection="1">
      <alignment horizontal="center"/>
    </xf>
    <xf numFmtId="164" fontId="7" fillId="0" borderId="0" xfId="0" applyNumberFormat="1" applyFont="1" applyBorder="1" applyAlignment="1" applyProtection="1">
      <alignment horizontal="center"/>
    </xf>
    <xf numFmtId="164" fontId="7" fillId="0" borderId="2" xfId="0" applyNumberFormat="1" applyFont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</xf>
    <xf numFmtId="0" fontId="13" fillId="0" borderId="0" xfId="0" applyFont="1" applyFill="1" applyAlignment="1">
      <alignment wrapText="1"/>
    </xf>
    <xf numFmtId="164" fontId="7" fillId="0" borderId="2" xfId="0" applyNumberFormat="1" applyFont="1" applyBorder="1"/>
    <xf numFmtId="164" fontId="7" fillId="0" borderId="2" xfId="0" applyNumberFormat="1" applyFont="1" applyFill="1" applyBorder="1"/>
    <xf numFmtId="2" fontId="7" fillId="0" borderId="2" xfId="4" applyNumberFormat="1" applyBorder="1"/>
    <xf numFmtId="2" fontId="34" fillId="0" borderId="0" xfId="0" applyNumberFormat="1" applyFont="1" applyProtection="1"/>
    <xf numFmtId="0" fontId="19" fillId="0" borderId="0" xfId="0" applyFont="1" applyAlignment="1" applyProtection="1">
      <alignment horizontal="left" wrapText="1"/>
    </xf>
    <xf numFmtId="0" fontId="11" fillId="0" borderId="0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wrapText="1"/>
    </xf>
    <xf numFmtId="2" fontId="8" fillId="0" borderId="2" xfId="0" applyNumberFormat="1" applyFont="1" applyFill="1" applyBorder="1" applyAlignment="1" applyProtection="1">
      <alignment horizontal="center"/>
    </xf>
    <xf numFmtId="2" fontId="7" fillId="0" borderId="13" xfId="4" applyNumberFormat="1" applyFont="1" applyBorder="1" applyAlignment="1">
      <alignment horizontal="center"/>
    </xf>
    <xf numFmtId="0" fontId="11" fillId="0" borderId="0" xfId="0" applyNumberFormat="1" applyFont="1" applyFill="1" applyBorder="1" applyAlignment="1" applyProtection="1">
      <alignment horizontal="center" wrapText="1"/>
    </xf>
    <xf numFmtId="2" fontId="12" fillId="0" borderId="0" xfId="0" applyNumberFormat="1" applyFont="1" applyFill="1" applyBorder="1" applyProtection="1"/>
    <xf numFmtId="0" fontId="19" fillId="0" borderId="0" xfId="0" applyFont="1" applyAlignment="1" applyProtection="1">
      <alignment wrapText="1"/>
    </xf>
    <xf numFmtId="0" fontId="13" fillId="0" borderId="0" xfId="0" applyFont="1" applyAlignment="1">
      <alignment wrapText="1"/>
    </xf>
    <xf numFmtId="0" fontId="52" fillId="0" borderId="0" xfId="0" applyFont="1" applyAlignment="1">
      <alignment horizontal="left" wrapText="1"/>
    </xf>
    <xf numFmtId="0" fontId="20" fillId="0" borderId="0" xfId="0" applyFont="1" applyAlignment="1"/>
    <xf numFmtId="0" fontId="49" fillId="0" borderId="0" xfId="0" applyFont="1" applyBorder="1" applyAlignment="1" applyProtection="1">
      <alignment horizontal="left" wrapText="1"/>
    </xf>
    <xf numFmtId="0" fontId="49" fillId="0" borderId="0" xfId="0" applyFont="1" applyBorder="1" applyAlignment="1" applyProtection="1">
      <alignment horizontal="left"/>
    </xf>
    <xf numFmtId="0" fontId="49" fillId="0" borderId="0" xfId="0" applyFont="1" applyBorder="1" applyAlignment="1">
      <alignment horizontal="left"/>
    </xf>
    <xf numFmtId="0" fontId="8" fillId="0" borderId="0" xfId="0" applyFont="1" applyBorder="1" applyAlignment="1" applyProtection="1">
      <alignment horizontal="left"/>
    </xf>
    <xf numFmtId="0" fontId="8" fillId="0" borderId="0" xfId="0" applyFont="1" applyBorder="1" applyAlignment="1">
      <alignment horizontal="left"/>
    </xf>
    <xf numFmtId="1" fontId="8" fillId="0" borderId="0" xfId="0" applyNumberFormat="1" applyFont="1" applyAlignment="1" applyProtection="1">
      <alignment horizontal="left"/>
    </xf>
    <xf numFmtId="49" fontId="8" fillId="0" borderId="0" xfId="0" applyNumberFormat="1" applyFont="1"/>
    <xf numFmtId="0" fontId="47" fillId="0" borderId="0" xfId="1" applyFont="1" applyFill="1" applyBorder="1"/>
    <xf numFmtId="1" fontId="8" fillId="0" borderId="0" xfId="0" applyNumberFormat="1" applyFont="1"/>
    <xf numFmtId="49" fontId="49" fillId="0" borderId="0" xfId="1" applyNumberFormat="1" applyFont="1" applyFill="1" applyBorder="1" applyAlignment="1"/>
    <xf numFmtId="0" fontId="49" fillId="0" borderId="0" xfId="1" applyFont="1" applyFill="1" applyBorder="1" applyAlignment="1"/>
    <xf numFmtId="0" fontId="49" fillId="0" borderId="0" xfId="3" applyFont="1" applyBorder="1" applyAlignment="1"/>
    <xf numFmtId="0" fontId="49" fillId="0" borderId="0" xfId="3" applyFont="1" applyBorder="1" applyAlignment="1">
      <alignment wrapText="1"/>
    </xf>
    <xf numFmtId="0" fontId="49" fillId="0" borderId="0" xfId="3" applyFont="1" applyBorder="1" applyAlignment="1">
      <alignment horizontal="left" wrapText="1"/>
    </xf>
    <xf numFmtId="49" fontId="49" fillId="0" borderId="0" xfId="3" applyNumberFormat="1" applyFont="1" applyBorder="1" applyAlignment="1">
      <alignment wrapText="1"/>
    </xf>
    <xf numFmtId="0" fontId="49" fillId="0" borderId="0" xfId="3" applyFont="1" applyBorder="1" applyAlignment="1">
      <alignment horizontal="left"/>
    </xf>
    <xf numFmtId="0" fontId="13" fillId="0" borderId="0" xfId="0" applyFont="1" applyAlignment="1" applyProtection="1">
      <alignment horizontal="left"/>
    </xf>
    <xf numFmtId="1" fontId="66" fillId="0" borderId="0" xfId="0" applyNumberFormat="1" applyFont="1" applyAlignment="1" applyProtection="1">
      <alignment horizontal="left"/>
    </xf>
  </cellXfs>
  <cellStyles count="10">
    <cellStyle name="Bad" xfId="1" builtinId="27"/>
    <cellStyle name="Currency" xfId="2" builtinId="4"/>
    <cellStyle name="Currency 2" xfId="6"/>
    <cellStyle name="Hyperlink" xfId="5" builtinId="8"/>
    <cellStyle name="Normal" xfId="0" builtinId="0"/>
    <cellStyle name="Normal 2" xfId="3"/>
    <cellStyle name="Normal 2 2" xfId="7"/>
    <cellStyle name="Normal 2 3" xfId="8"/>
    <cellStyle name="Normal 2 4" xfId="9"/>
    <cellStyle name="Normal 3" xfId="4"/>
  </cellStyles>
  <dxfs count="2"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34</xdr:row>
      <xdr:rowOff>9525</xdr:rowOff>
    </xdr:from>
    <xdr:to>
      <xdr:col>36</xdr:col>
      <xdr:colOff>0</xdr:colOff>
      <xdr:row>41</xdr:row>
      <xdr:rowOff>133350</xdr:rowOff>
    </xdr:to>
    <xdr:pic>
      <xdr:nvPicPr>
        <xdr:cNvPr id="22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4516100" y="5753100"/>
          <a:ext cx="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S67"/>
  <sheetViews>
    <sheetView tabSelected="1" topLeftCell="A3" zoomScale="70" zoomScaleNormal="70" zoomScalePageLayoutView="125" workbookViewId="0">
      <selection activeCell="M32" sqref="M32"/>
    </sheetView>
  </sheetViews>
  <sheetFormatPr defaultColWidth="8.88671875" defaultRowHeight="13.2"/>
  <cols>
    <col min="1" max="1" width="53.44140625" customWidth="1"/>
    <col min="2" max="2" width="14.88671875" customWidth="1"/>
    <col min="3" max="3" width="11.88671875" style="3" customWidth="1"/>
    <col min="4" max="4" width="10.44140625" customWidth="1"/>
    <col min="5" max="5" width="12.88671875" customWidth="1"/>
    <col min="6" max="6" width="12.44140625" customWidth="1"/>
    <col min="8" max="8" width="11.44140625" customWidth="1"/>
    <col min="9" max="9" width="15.33203125" customWidth="1"/>
    <col min="10" max="10" width="15.44140625" style="191" customWidth="1"/>
    <col min="11" max="11" width="15.44140625" style="3" customWidth="1"/>
    <col min="12" max="12" width="9.33203125" customWidth="1"/>
    <col min="13" max="13" width="12.44140625" customWidth="1"/>
    <col min="14" max="14" width="11.109375" customWidth="1"/>
    <col min="15" max="15" width="12.44140625" customWidth="1"/>
    <col min="16" max="16" width="15.44140625" customWidth="1"/>
  </cols>
  <sheetData>
    <row r="1" spans="1:19" ht="34.799999999999997">
      <c r="A1" s="507" t="s">
        <v>172</v>
      </c>
      <c r="B1" s="6"/>
      <c r="C1" s="18"/>
      <c r="D1" s="6"/>
      <c r="E1" s="6"/>
      <c r="F1" s="10" t="s">
        <v>162</v>
      </c>
      <c r="G1" s="37"/>
      <c r="H1" s="6"/>
      <c r="I1" s="6"/>
      <c r="J1" s="190"/>
      <c r="K1" s="129" t="s">
        <v>90</v>
      </c>
      <c r="L1" s="6"/>
      <c r="M1" s="6"/>
      <c r="N1" s="6"/>
      <c r="O1" s="6"/>
    </row>
    <row r="2" spans="1:19">
      <c r="A2" s="6"/>
      <c r="B2" s="5" t="s">
        <v>21</v>
      </c>
      <c r="C2" s="5" t="s">
        <v>5</v>
      </c>
      <c r="D2" s="6"/>
      <c r="E2" s="10" t="s">
        <v>47</v>
      </c>
      <c r="F2" s="5" t="s">
        <v>40</v>
      </c>
      <c r="G2" s="37"/>
      <c r="H2" s="6"/>
      <c r="I2" s="6"/>
      <c r="J2" s="77" t="s">
        <v>89</v>
      </c>
      <c r="K2" s="5" t="s">
        <v>79</v>
      </c>
      <c r="L2" s="5" t="s">
        <v>42</v>
      </c>
      <c r="M2" s="10" t="s">
        <v>45</v>
      </c>
      <c r="N2" s="10" t="s">
        <v>63</v>
      </c>
      <c r="O2" s="37" t="s">
        <v>87</v>
      </c>
      <c r="P2" s="25"/>
    </row>
    <row r="3" spans="1:19">
      <c r="A3" s="6"/>
      <c r="B3" s="5" t="s">
        <v>6</v>
      </c>
      <c r="C3" s="5" t="s">
        <v>46</v>
      </c>
      <c r="D3" s="5" t="s">
        <v>65</v>
      </c>
      <c r="E3" s="5" t="s">
        <v>3</v>
      </c>
      <c r="F3" s="35" t="s">
        <v>41</v>
      </c>
      <c r="G3" s="5" t="s">
        <v>4</v>
      </c>
      <c r="H3" s="5" t="s">
        <v>36</v>
      </c>
      <c r="I3" s="2" t="s">
        <v>37</v>
      </c>
      <c r="J3" s="17" t="s">
        <v>78</v>
      </c>
      <c r="K3" s="5" t="s">
        <v>2</v>
      </c>
      <c r="L3" s="5" t="s">
        <v>43</v>
      </c>
      <c r="M3" s="5" t="s">
        <v>3</v>
      </c>
      <c r="N3" s="5" t="s">
        <v>62</v>
      </c>
      <c r="O3" s="5" t="s">
        <v>88</v>
      </c>
      <c r="S3" s="5"/>
    </row>
    <row r="4" spans="1:19" ht="14.4">
      <c r="A4" s="422" t="s">
        <v>186</v>
      </c>
      <c r="B4" s="58">
        <f>Paper!C55</f>
        <v>86.3</v>
      </c>
      <c r="C4" s="242">
        <f>Static!B5</f>
        <v>50</v>
      </c>
      <c r="D4" s="265">
        <f>MSRP!L7</f>
        <v>39.108836492189809</v>
      </c>
      <c r="E4" s="58">
        <f>'Subjective Handling '!R4</f>
        <v>39.1875</v>
      </c>
      <c r="F4" s="77">
        <f>'Fuel Economy-Endurance  '!E10</f>
        <v>0</v>
      </c>
      <c r="G4" s="58">
        <f>Oral!AL4</f>
        <v>77.296296296296291</v>
      </c>
      <c r="H4" s="58">
        <f>Noise!G5</f>
        <v>262.5</v>
      </c>
      <c r="I4" s="243">
        <f>Acceleration!E5</f>
        <v>41.992312620115314</v>
      </c>
      <c r="J4" s="242">
        <f>'Lab Emissions'!K5+'Lab Emissions'!O5</f>
        <v>316.93</v>
      </c>
      <c r="K4" s="242">
        <f>'In Service Emissions'!C6+'In Service Emissions'!I6</f>
        <v>100</v>
      </c>
      <c r="L4" s="242">
        <f>'Cold Start'!C4:C16</f>
        <v>50</v>
      </c>
      <c r="M4" s="242">
        <f>'Objective Handling'!E6</f>
        <v>56.078706957132795</v>
      </c>
      <c r="N4" s="242">
        <f>'Penalties and Bonuses'!J4</f>
        <v>0</v>
      </c>
      <c r="O4" s="248">
        <f>'Vehicle Weights'!G4</f>
        <v>0</v>
      </c>
      <c r="S4" s="58"/>
    </row>
    <row r="5" spans="1:19" ht="14.4">
      <c r="A5" s="422" t="s">
        <v>187</v>
      </c>
      <c r="B5" s="58">
        <f>Paper!D55</f>
        <v>81.304347826086953</v>
      </c>
      <c r="C5" s="242">
        <f>Static!B6</f>
        <v>50</v>
      </c>
      <c r="D5" s="265">
        <f>MSRP!L8</f>
        <v>43</v>
      </c>
      <c r="E5" s="58">
        <f>'Subjective Handling '!R5</f>
        <v>35.4375</v>
      </c>
      <c r="F5" s="77">
        <f>'Fuel Economy-Endurance  '!E11</f>
        <v>0</v>
      </c>
      <c r="G5" s="58">
        <f>Oral!AL5</f>
        <v>71.583333333333329</v>
      </c>
      <c r="H5" s="58">
        <f>Noise!G6</f>
        <v>244.64360167202898</v>
      </c>
      <c r="I5" s="243">
        <f>Acceleration!E6</f>
        <v>0</v>
      </c>
      <c r="J5" s="242">
        <f>'Lab Emissions'!K6+'Lab Emissions'!O6</f>
        <v>10</v>
      </c>
      <c r="K5" s="242">
        <f>'In Service Emissions'!C7+'In Service Emissions'!I7</f>
        <v>95.114335267217569</v>
      </c>
      <c r="L5" s="242">
        <f>'Cold Start'!C5:C17</f>
        <v>0</v>
      </c>
      <c r="M5" s="242">
        <f>'Objective Handling'!E7</f>
        <v>0</v>
      </c>
      <c r="N5" s="242">
        <f>'Penalties and Bonuses'!J5</f>
        <v>-40</v>
      </c>
      <c r="O5" s="248">
        <f>'Vehicle Weights'!G5</f>
        <v>0</v>
      </c>
      <c r="S5" s="58"/>
    </row>
    <row r="6" spans="1:19" ht="14.4">
      <c r="A6" s="423" t="s">
        <v>188</v>
      </c>
      <c r="B6" s="58">
        <f>Paper!E55</f>
        <v>86.5</v>
      </c>
      <c r="C6" s="242">
        <f>Static!B7</f>
        <v>50</v>
      </c>
      <c r="D6" s="265">
        <f>MSRP!L9</f>
        <v>37.291322953126411</v>
      </c>
      <c r="E6" s="58">
        <f>'Subjective Handling '!R6</f>
        <v>39.5</v>
      </c>
      <c r="F6" s="77">
        <f>'Fuel Economy-Endurance  '!E12</f>
        <v>188.23529411764702</v>
      </c>
      <c r="G6" s="58">
        <f>Oral!AL6</f>
        <v>70.8</v>
      </c>
      <c r="H6" s="58">
        <f>Noise!G7</f>
        <v>45</v>
      </c>
      <c r="I6" s="243">
        <f>Acceleration!E7</f>
        <v>40.518898142216536</v>
      </c>
      <c r="J6" s="242">
        <f>'Lab Emissions'!K7+'Lab Emissions'!O7</f>
        <v>237.76</v>
      </c>
      <c r="K6" s="242">
        <f>'In Service Emissions'!C8+'In Service Emissions'!I8</f>
        <v>83.838483667702292</v>
      </c>
      <c r="L6" s="242">
        <f>'Cold Start'!C6:C18</f>
        <v>50</v>
      </c>
      <c r="M6" s="242">
        <f>'Objective Handling'!E8</f>
        <v>61.52494729444831</v>
      </c>
      <c r="N6" s="242">
        <f>'Penalties and Bonuses'!J6</f>
        <v>90</v>
      </c>
      <c r="O6" s="248">
        <f>'Vehicle Weights'!G6</f>
        <v>0</v>
      </c>
      <c r="S6" s="58"/>
    </row>
    <row r="7" spans="1:19" s="162" customFormat="1" ht="14.4">
      <c r="A7" s="422" t="s">
        <v>189</v>
      </c>
      <c r="B7" s="58">
        <f>Paper!F55</f>
        <v>82.409090909090907</v>
      </c>
      <c r="C7" s="242">
        <f>Static!B8</f>
        <v>50</v>
      </c>
      <c r="D7" s="265">
        <f>MSRP!L10</f>
        <v>36.528974786251588</v>
      </c>
      <c r="E7" s="58">
        <f>'Subjective Handling '!R7</f>
        <v>37.625</v>
      </c>
      <c r="F7" s="77">
        <f>'Fuel Economy-Endurance  '!E13</f>
        <v>0</v>
      </c>
      <c r="G7" s="58">
        <f>Oral!AL7</f>
        <v>78.75</v>
      </c>
      <c r="H7" s="58">
        <f>Noise!G8</f>
        <v>7.5</v>
      </c>
      <c r="I7" s="243">
        <f>Acceleration!E8</f>
        <v>42.472773862908397</v>
      </c>
      <c r="J7" s="242">
        <f>'Lab Emissions'!K8+'Lab Emissions'!O8</f>
        <v>58.28</v>
      </c>
      <c r="K7" s="242">
        <f>'In Service Emissions'!C9+'In Service Emissions'!I9</f>
        <v>37.735838317889701</v>
      </c>
      <c r="L7" s="242">
        <f>'Cold Start'!C7:C19</f>
        <v>50</v>
      </c>
      <c r="M7" s="242">
        <f>'Objective Handling'!E9</f>
        <v>43.780744905129978</v>
      </c>
      <c r="N7" s="242">
        <f>'Penalties and Bonuses'!J7</f>
        <v>-65</v>
      </c>
      <c r="O7" s="248">
        <f>'Vehicle Weights'!G7</f>
        <v>0</v>
      </c>
      <c r="S7" s="242"/>
    </row>
    <row r="8" spans="1:19" s="162" customFormat="1" ht="14.4">
      <c r="A8" s="424" t="s">
        <v>190</v>
      </c>
      <c r="B8" s="58">
        <f>Paper!G55</f>
        <v>87.84210526315789</v>
      </c>
      <c r="C8" s="242">
        <f>Static!B9</f>
        <v>50</v>
      </c>
      <c r="D8" s="265">
        <f>MSRP!L11</f>
        <v>41.354168288922473</v>
      </c>
      <c r="E8" s="58">
        <f>'Subjective Handling '!R8</f>
        <v>44.55</v>
      </c>
      <c r="F8" s="77">
        <f>'Fuel Economy-Endurance  '!E14</f>
        <v>200</v>
      </c>
      <c r="G8" s="58">
        <f>Oral!AL8</f>
        <v>68.137931034482762</v>
      </c>
      <c r="H8" s="58">
        <f>Noise!G9</f>
        <v>7.5</v>
      </c>
      <c r="I8" s="243">
        <f>Acceleration!E9</f>
        <v>45.227418321588729</v>
      </c>
      <c r="J8" s="242">
        <f>'Lab Emissions'!K9+'Lab Emissions'!O9</f>
        <v>10</v>
      </c>
      <c r="K8" s="242">
        <f>'In Service Emissions'!C10+'In Service Emissions'!I10</f>
        <v>76.696495370054194</v>
      </c>
      <c r="L8" s="242">
        <f>'Cold Start'!C8:C20</f>
        <v>50</v>
      </c>
      <c r="M8" s="242">
        <f>'Objective Handling'!E10</f>
        <v>59.065354884047764</v>
      </c>
      <c r="N8" s="242">
        <f>'Penalties and Bonuses'!J8</f>
        <v>0</v>
      </c>
      <c r="O8" s="248">
        <f>'Vehicle Weights'!G8</f>
        <v>0</v>
      </c>
      <c r="S8" s="242"/>
    </row>
    <row r="9" spans="1:19" s="30" customFormat="1" ht="14.4">
      <c r="A9" s="422" t="s">
        <v>191</v>
      </c>
      <c r="B9" s="277">
        <f>Paper!H55</f>
        <v>83.277777777777771</v>
      </c>
      <c r="C9" s="413">
        <f>Static!B10</f>
        <v>50</v>
      </c>
      <c r="D9" s="265">
        <f>MSRP!L12</f>
        <v>26.718101259908735</v>
      </c>
      <c r="E9" s="58">
        <f>'Subjective Handling '!R9</f>
        <v>37.75</v>
      </c>
      <c r="F9" s="77">
        <f>'Fuel Economy-Endurance  '!E15</f>
        <v>182.35294117647061</v>
      </c>
      <c r="G9" s="58">
        <f>Oral!AL9</f>
        <v>71.758620689655174</v>
      </c>
      <c r="H9" s="58">
        <f>Noise!G10</f>
        <v>7.5</v>
      </c>
      <c r="I9" s="243">
        <f>Acceleration!E10</f>
        <v>40.614990390775148</v>
      </c>
      <c r="J9" s="242">
        <f>'Lab Emissions'!K10+'Lab Emissions'!O10</f>
        <v>257.97000000000003</v>
      </c>
      <c r="K9" s="242">
        <f>'In Service Emissions'!C11+'In Service Emissions'!I11</f>
        <v>77.254949411331353</v>
      </c>
      <c r="L9" s="242">
        <f>'Cold Start'!C9:C21</f>
        <v>50</v>
      </c>
      <c r="M9" s="242">
        <f>'Objective Handling'!E11</f>
        <v>40.917076598735036</v>
      </c>
      <c r="N9" s="242">
        <f>'Penalties and Bonuses'!J9</f>
        <v>0</v>
      </c>
      <c r="O9" s="248">
        <f>'Vehicle Weights'!G9</f>
        <v>0</v>
      </c>
      <c r="S9" s="277"/>
    </row>
    <row r="10" spans="1:19" ht="14.4">
      <c r="A10" s="422" t="s">
        <v>192</v>
      </c>
      <c r="B10" s="58">
        <f>Paper!I55</f>
        <v>66.25</v>
      </c>
      <c r="C10" s="242">
        <f>Static!B11</f>
        <v>50</v>
      </c>
      <c r="D10" s="265">
        <f>MSRP!L13</f>
        <v>24.284359377676715</v>
      </c>
      <c r="E10" s="58">
        <f>'Subjective Handling '!R10</f>
        <v>43.7</v>
      </c>
      <c r="F10" s="77">
        <f>'Fuel Economy-Endurance  '!E16</f>
        <v>100</v>
      </c>
      <c r="G10" s="58">
        <f>Oral!AL10</f>
        <v>59.56</v>
      </c>
      <c r="H10" s="58">
        <f>Noise!G11</f>
        <v>7.5</v>
      </c>
      <c r="I10" s="243">
        <f>Acceleration!E11</f>
        <v>50</v>
      </c>
      <c r="J10" s="242">
        <f>'Lab Emissions'!K11+'Lab Emissions'!O11</f>
        <v>268.82</v>
      </c>
      <c r="K10" s="242">
        <f>'In Service Emissions'!C12+'In Service Emissions'!I12</f>
        <v>63.444535858489218</v>
      </c>
      <c r="L10" s="242">
        <f>'Cold Start'!C10:C22</f>
        <v>50</v>
      </c>
      <c r="M10" s="242">
        <f>'Objective Handling'!E12</f>
        <v>74.999999999999972</v>
      </c>
      <c r="N10" s="242">
        <f>'Penalties and Bonuses'!J10</f>
        <v>100</v>
      </c>
      <c r="O10" s="248">
        <f>'Vehicle Weights'!G10</f>
        <v>0</v>
      </c>
      <c r="S10" s="58"/>
    </row>
    <row r="11" spans="1:19" ht="14.4">
      <c r="A11" s="422" t="s">
        <v>193</v>
      </c>
      <c r="B11" s="58">
        <f>Paper!J55</f>
        <v>76.625</v>
      </c>
      <c r="C11" s="242">
        <f>Static!B12</f>
        <v>50</v>
      </c>
      <c r="D11" s="265">
        <f>MSRP!L14</f>
        <v>38.616646680475306</v>
      </c>
      <c r="E11" s="58">
        <f>'Subjective Handling '!R11</f>
        <v>39.916666666666664</v>
      </c>
      <c r="F11" s="77">
        <f>'Fuel Economy-Endurance  '!E17</f>
        <v>0</v>
      </c>
      <c r="G11" s="58">
        <f>Oral!AL11</f>
        <v>68.666666666666671</v>
      </c>
      <c r="H11" s="58">
        <f>Noise!G12</f>
        <v>7.5178085044090812</v>
      </c>
      <c r="I11" s="243">
        <f>Acceleration!E12</f>
        <v>43.241511851377325</v>
      </c>
      <c r="J11" s="242">
        <f>'Lab Emissions'!K12+'Lab Emissions'!O12</f>
        <v>284.85000000000002</v>
      </c>
      <c r="K11" s="242">
        <f>'In Service Emissions'!C13+'In Service Emissions'!I13</f>
        <v>66.23007139606537</v>
      </c>
      <c r="L11" s="242">
        <f>'Cold Start'!C11:C23</f>
        <v>50</v>
      </c>
      <c r="M11" s="242">
        <f>'Objective Handling'!E13</f>
        <v>37.789880534082897</v>
      </c>
      <c r="N11" s="242">
        <f>'Penalties and Bonuses'!J11</f>
        <v>0</v>
      </c>
      <c r="O11" s="248">
        <f>'Vehicle Weights'!G11</f>
        <v>0</v>
      </c>
      <c r="S11" s="58"/>
    </row>
    <row r="12" spans="1:19" s="30" customFormat="1" ht="14.4">
      <c r="A12" s="422" t="s">
        <v>194</v>
      </c>
      <c r="B12" s="277">
        <f>Paper!K55</f>
        <v>66.8125</v>
      </c>
      <c r="C12" s="413">
        <f>Static!B13</f>
        <v>50</v>
      </c>
      <c r="D12" s="265">
        <f>MSRP!L15</f>
        <v>22.313326377100495</v>
      </c>
      <c r="E12" s="58">
        <f>'Subjective Handling '!R12</f>
        <v>45.3125</v>
      </c>
      <c r="F12" s="77">
        <f>'Fuel Economy-Endurance  '!E18</f>
        <v>0</v>
      </c>
      <c r="G12" s="58">
        <f>Oral!AL12</f>
        <v>65.142857142857139</v>
      </c>
      <c r="H12" s="58">
        <f>Noise!G13</f>
        <v>94.643601672028993</v>
      </c>
      <c r="I12" s="243">
        <f>Acceleration!E13</f>
        <v>38.24471492632928</v>
      </c>
      <c r="J12" s="242">
        <f>'Lab Emissions'!K13+'Lab Emissions'!O13</f>
        <v>10</v>
      </c>
      <c r="K12" s="242">
        <f>'In Service Emissions'!C14+'In Service Emissions'!I14</f>
        <v>2.5</v>
      </c>
      <c r="L12" s="242">
        <f>'Cold Start'!C12:C24</f>
        <v>50</v>
      </c>
      <c r="M12" s="242">
        <f>'Objective Handling'!E14</f>
        <v>47.470133520730826</v>
      </c>
      <c r="N12" s="242">
        <f>'Penalties and Bonuses'!J12</f>
        <v>100</v>
      </c>
      <c r="O12" s="248">
        <f>'Vehicle Weights'!G12</f>
        <v>0</v>
      </c>
      <c r="S12" s="277"/>
    </row>
    <row r="13" spans="1:19" s="137" customFormat="1" ht="14.4">
      <c r="A13" s="422" t="s">
        <v>195</v>
      </c>
      <c r="B13" s="58">
        <f>Paper!L55</f>
        <v>53.357142857142854</v>
      </c>
      <c r="C13" s="242">
        <f>Static!B14</f>
        <v>50</v>
      </c>
      <c r="D13" s="265">
        <f>MSRP!L16</f>
        <v>29.748999392627432</v>
      </c>
      <c r="E13" s="58">
        <f>'Subjective Handling '!R13</f>
        <v>0</v>
      </c>
      <c r="F13" s="77">
        <f>'Fuel Economy-Endurance  '!E19</f>
        <v>0</v>
      </c>
      <c r="G13" s="58">
        <f>Oral!AL13</f>
        <v>34.482142857142854</v>
      </c>
      <c r="H13" s="58">
        <f>Noise!G14</f>
        <v>0</v>
      </c>
      <c r="I13" s="243">
        <f>Acceleration!E14</f>
        <v>0</v>
      </c>
      <c r="J13" s="242">
        <f>'Lab Emissions'!K14+'Lab Emissions'!O14</f>
        <v>0</v>
      </c>
      <c r="K13" s="242">
        <f>'In Service Emissions'!C15+'In Service Emissions'!I15</f>
        <v>0</v>
      </c>
      <c r="L13" s="242">
        <f>'Cold Start'!C13:C25</f>
        <v>0</v>
      </c>
      <c r="M13" s="242">
        <f>'Objective Handling'!E15</f>
        <v>0</v>
      </c>
      <c r="N13" s="242">
        <f>'Penalties and Bonuses'!J13</f>
        <v>-40</v>
      </c>
      <c r="O13" s="248">
        <f>'Vehicle Weights'!G13</f>
        <v>0</v>
      </c>
      <c r="P13" s="162"/>
      <c r="S13" s="151"/>
    </row>
    <row r="14" spans="1:19" ht="14.4">
      <c r="A14" s="422" t="s">
        <v>196</v>
      </c>
      <c r="B14" s="58">
        <f>Paper!M55</f>
        <v>63.214285714285715</v>
      </c>
      <c r="C14" s="242">
        <f>Static!B15</f>
        <v>50</v>
      </c>
      <c r="D14" s="265">
        <f>MSRP!L17</f>
        <v>30.548325053339767</v>
      </c>
      <c r="E14" s="58">
        <f>'Subjective Handling '!R14</f>
        <v>38.166666666666664</v>
      </c>
      <c r="F14" s="77">
        <f>'Fuel Economy-Endurance  '!E20</f>
        <v>194.11764705882348</v>
      </c>
      <c r="G14" s="58">
        <f>Oral!AL14</f>
        <v>47.08</v>
      </c>
      <c r="H14" s="58">
        <f>Noise!G15</f>
        <v>194.14923520864221</v>
      </c>
      <c r="I14" s="243">
        <f>Acceleration!E15</f>
        <v>40.038436899423452</v>
      </c>
      <c r="J14" s="242">
        <f>'Lab Emissions'!K15+'Lab Emissions'!O15</f>
        <v>282.88</v>
      </c>
      <c r="K14" s="242">
        <f>'In Service Emissions'!C16+'In Service Emissions'!I16</f>
        <v>79.819670935793994</v>
      </c>
      <c r="L14" s="242">
        <f>'Cold Start'!C14:C26</f>
        <v>0</v>
      </c>
      <c r="M14" s="242">
        <f>'Objective Handling'!E16</f>
        <v>63.931834153197457</v>
      </c>
      <c r="N14" s="242">
        <f>'Penalties and Bonuses'!J14</f>
        <v>0</v>
      </c>
      <c r="O14" s="248">
        <f>'Vehicle Weights'!G14</f>
        <v>0</v>
      </c>
    </row>
    <row r="15" spans="1:19" ht="14.4">
      <c r="A15" s="422" t="s">
        <v>197</v>
      </c>
      <c r="B15" s="58">
        <f>Paper!N55</f>
        <v>75.533333333333331</v>
      </c>
      <c r="C15" s="242">
        <f>Static!B16</f>
        <v>50</v>
      </c>
      <c r="D15" s="265">
        <f>MSRP!L18</f>
        <v>25.954797464608852</v>
      </c>
      <c r="E15" s="58">
        <f>'Subjective Handling '!R15</f>
        <v>34.53</v>
      </c>
      <c r="F15" s="77">
        <f>'Fuel Economy-Endurance  '!E21</f>
        <v>0</v>
      </c>
      <c r="G15" s="58">
        <f>Oral!AL15</f>
        <v>57.694444444444443</v>
      </c>
      <c r="H15" s="58">
        <f>Noise!G16</f>
        <v>0</v>
      </c>
      <c r="I15" s="243">
        <f>Acceleration!E16</f>
        <v>31.454196028187063</v>
      </c>
      <c r="J15" s="242">
        <f>'Lab Emissions'!K16+'Lab Emissions'!O16</f>
        <v>287.39</v>
      </c>
      <c r="K15" s="242">
        <f>'In Service Emissions'!C17+'In Service Emissions'!I17</f>
        <v>0</v>
      </c>
      <c r="L15" s="242">
        <f>'Cold Start'!C15:C27</f>
        <v>50</v>
      </c>
      <c r="M15" s="242">
        <f>'Objective Handling'!E17</f>
        <v>2.5</v>
      </c>
      <c r="N15" s="242">
        <f>'Penalties and Bonuses'!J15</f>
        <v>-30</v>
      </c>
      <c r="O15" s="248">
        <f>'Vehicle Weights'!G15</f>
        <v>0</v>
      </c>
    </row>
    <row r="16" spans="1:19" ht="14.4">
      <c r="A16" s="422" t="s">
        <v>198</v>
      </c>
      <c r="B16" s="58">
        <f>Paper!O55</f>
        <v>68.428571428571431</v>
      </c>
      <c r="C16" s="242">
        <f>Static!B17</f>
        <v>50</v>
      </c>
      <c r="D16" s="265">
        <f>MSRP!L19</f>
        <v>18</v>
      </c>
      <c r="E16" s="58">
        <f>'Subjective Handling '!R16</f>
        <v>34.625</v>
      </c>
      <c r="F16" s="77">
        <f>'Fuel Economy-Endurance  '!E22</f>
        <v>135.29411764705878</v>
      </c>
      <c r="G16" s="58">
        <f>Oral!AL16</f>
        <v>67.142857142857139</v>
      </c>
      <c r="H16" s="58">
        <f>Noise!G17</f>
        <v>7.5</v>
      </c>
      <c r="I16" s="243">
        <f>Acceleration!E17</f>
        <v>0</v>
      </c>
      <c r="J16" s="242">
        <f>'Lab Emissions'!K17+'Lab Emissions'!O17</f>
        <v>10</v>
      </c>
      <c r="K16" s="242">
        <f>'In Service Emissions'!C18+'In Service Emissions'!I18</f>
        <v>65.236539158751043</v>
      </c>
      <c r="L16" s="242">
        <f>'Cold Start'!C16:C28</f>
        <v>0</v>
      </c>
      <c r="M16" s="242">
        <f>'Objective Handling'!E18</f>
        <v>0</v>
      </c>
      <c r="N16" s="242">
        <f>'Penalties and Bonuses'!J16</f>
        <v>70</v>
      </c>
      <c r="O16" s="248">
        <f>'Vehicle Weights'!G16</f>
        <v>0</v>
      </c>
    </row>
    <row r="17" spans="1:15">
      <c r="B17" s="2" t="s">
        <v>44</v>
      </c>
      <c r="C17" s="2" t="s">
        <v>44</v>
      </c>
      <c r="D17" s="2" t="s">
        <v>44</v>
      </c>
      <c r="E17" s="2" t="s">
        <v>44</v>
      </c>
      <c r="F17" s="2" t="s">
        <v>44</v>
      </c>
      <c r="G17" s="2" t="s">
        <v>44</v>
      </c>
      <c r="H17" s="2" t="s">
        <v>44</v>
      </c>
      <c r="I17" s="2" t="s">
        <v>44</v>
      </c>
      <c r="J17" s="2" t="s">
        <v>44</v>
      </c>
      <c r="K17" s="2" t="s">
        <v>44</v>
      </c>
      <c r="L17" s="2" t="s">
        <v>44</v>
      </c>
      <c r="M17" s="2" t="s">
        <v>44</v>
      </c>
      <c r="N17" s="13"/>
      <c r="O17" s="2" t="s">
        <v>44</v>
      </c>
    </row>
    <row r="18" spans="1:15">
      <c r="A18" s="10"/>
      <c r="B18" s="20" t="s">
        <v>19</v>
      </c>
      <c r="C18" s="17" t="s">
        <v>19</v>
      </c>
      <c r="D18" s="17" t="s">
        <v>22</v>
      </c>
      <c r="E18" s="33" t="s">
        <v>44</v>
      </c>
      <c r="F18" s="17" t="s">
        <v>19</v>
      </c>
      <c r="G18" s="32"/>
      <c r="H18" s="32"/>
      <c r="I18" s="64"/>
      <c r="L18" s="52"/>
      <c r="M18" s="34"/>
      <c r="N18" s="9"/>
      <c r="O18" s="6"/>
    </row>
    <row r="19" spans="1:15">
      <c r="A19" s="6"/>
      <c r="B19" s="20" t="s">
        <v>18</v>
      </c>
      <c r="C19" s="20" t="s">
        <v>21</v>
      </c>
      <c r="D19" s="5" t="s">
        <v>23</v>
      </c>
      <c r="E19" s="20"/>
      <c r="F19" s="5" t="s">
        <v>266</v>
      </c>
      <c r="G19" s="20" t="s">
        <v>24</v>
      </c>
      <c r="H19" s="20" t="s">
        <v>26</v>
      </c>
      <c r="L19" s="52"/>
      <c r="M19" s="34"/>
      <c r="N19" s="9"/>
      <c r="O19" s="6"/>
    </row>
    <row r="20" spans="1:15">
      <c r="A20" s="6"/>
      <c r="B20" s="20" t="s">
        <v>20</v>
      </c>
      <c r="C20" s="20" t="s">
        <v>20</v>
      </c>
      <c r="D20" s="5" t="s">
        <v>20</v>
      </c>
      <c r="E20" s="20"/>
      <c r="F20" s="5" t="s">
        <v>20</v>
      </c>
      <c r="G20" s="20" t="s">
        <v>9</v>
      </c>
      <c r="H20" s="20" t="s">
        <v>25</v>
      </c>
      <c r="L20" s="52"/>
      <c r="M20" s="34"/>
      <c r="N20" s="9"/>
      <c r="O20" s="6"/>
    </row>
    <row r="21" spans="1:15" ht="14.4">
      <c r="A21" s="422" t="s">
        <v>186</v>
      </c>
      <c r="B21" s="77">
        <f>IF(AND(H4&gt;8,J4&gt;69,I4&gt;0),(I4+M4),"Not Eligible")</f>
        <v>98.071019577248109</v>
      </c>
      <c r="C21" s="449">
        <f>IF(AND(J4&gt;69,H4&gt;8,I4&gt;0),(B4+G4+C4),"Not Eligible")</f>
        <v>213.59629629629629</v>
      </c>
      <c r="D21" s="485">
        <f>(H4+'Lab Emissions'!K5)/MSRP!C7</f>
        <v>4.7154811824478921E-2</v>
      </c>
      <c r="E21" s="154"/>
      <c r="F21" s="350">
        <f>(+E4+F4+I4+M4+L4)/MSRP!L7</f>
        <v>4.7881383434826645</v>
      </c>
      <c r="G21" s="17">
        <f t="shared" ref="G21:G33" si="0">SUM(B4:O4)</f>
        <v>1119.3936523657344</v>
      </c>
      <c r="H21" s="5">
        <f t="shared" ref="H21:H33" si="1">RANK(G21,$G$21:$G$33)</f>
        <v>1</v>
      </c>
      <c r="I21" s="155"/>
      <c r="L21" s="52"/>
      <c r="M21" s="34"/>
      <c r="N21" s="19"/>
      <c r="O21" s="6"/>
    </row>
    <row r="22" spans="1:15" ht="14.4">
      <c r="A22" s="422" t="s">
        <v>187</v>
      </c>
      <c r="B22" s="77" t="str">
        <f t="shared" ref="B22:B33" si="2">IF(AND(H5&gt;8,J5&gt;69,I5&gt;0),(I5+M5),"Not Eligible")</f>
        <v>Not Eligible</v>
      </c>
      <c r="C22" s="77" t="str">
        <f t="shared" ref="C22:C33" si="3">IF(AND(J5&gt;69,H5&gt;8,I5&gt;0),(B5+G5+C5),"Not Eligible")</f>
        <v>Not Eligible</v>
      </c>
      <c r="D22" s="350">
        <f>(H5+'Lab Emissions'!K6)/MSRP!C8</f>
        <v>2.5456723150257821E-2</v>
      </c>
      <c r="E22" s="154"/>
      <c r="F22" s="350">
        <f>(+E5+F5+I5+M5+L5)/MSRP!L8</f>
        <v>0.82412790697674421</v>
      </c>
      <c r="G22" s="17">
        <f t="shared" si="0"/>
        <v>591.08311809866689</v>
      </c>
      <c r="H22" s="5">
        <f t="shared" si="1"/>
        <v>9</v>
      </c>
      <c r="L22" s="52"/>
      <c r="M22" s="34"/>
      <c r="N22" s="19"/>
      <c r="O22" s="6"/>
    </row>
    <row r="23" spans="1:15" s="162" customFormat="1" ht="17.399999999999999">
      <c r="A23" s="423" t="s">
        <v>188</v>
      </c>
      <c r="B23" s="77">
        <f t="shared" si="2"/>
        <v>102.04384543666484</v>
      </c>
      <c r="C23" s="77">
        <f t="shared" si="3"/>
        <v>207.3</v>
      </c>
      <c r="D23" s="350">
        <f>(H6+'Lab Emissions'!K7)/MSRP!C9</f>
        <v>2.0873327300786816E-2</v>
      </c>
      <c r="E23" s="154"/>
      <c r="F23" s="350">
        <f>(+E6+F6+I6+M6+L6)/MSRP!L9</f>
        <v>10.184115485301446</v>
      </c>
      <c r="G23" s="17">
        <f t="shared" si="0"/>
        <v>1080.9689461751407</v>
      </c>
      <c r="H23" s="5">
        <v>2</v>
      </c>
      <c r="I23" s="533" t="s">
        <v>291</v>
      </c>
      <c r="J23" s="249"/>
      <c r="K23" s="234"/>
      <c r="L23" s="250"/>
      <c r="M23" s="247"/>
      <c r="N23" s="251"/>
      <c r="O23" s="239"/>
    </row>
    <row r="24" spans="1:15" ht="14.4">
      <c r="A24" s="422" t="s">
        <v>189</v>
      </c>
      <c r="B24" s="77" t="str">
        <f t="shared" si="2"/>
        <v>Not Eligible</v>
      </c>
      <c r="C24" s="77" t="str">
        <f t="shared" si="3"/>
        <v>Not Eligible</v>
      </c>
      <c r="D24" s="350">
        <f>(H7+'Lab Emissions'!K8)/MSRP!C10</f>
        <v>2.1666474951191348E-3</v>
      </c>
      <c r="E24" s="154"/>
      <c r="F24" s="350">
        <f>(+E7+F7+I7+M7+L7)/MSRP!L10</f>
        <v>4.7600163920691534</v>
      </c>
      <c r="G24" s="17">
        <f t="shared" si="0"/>
        <v>460.08242278127057</v>
      </c>
      <c r="H24" s="5">
        <f t="shared" si="1"/>
        <v>12</v>
      </c>
      <c r="L24" s="52"/>
      <c r="M24" s="34"/>
      <c r="N24" s="19"/>
      <c r="O24" s="6"/>
    </row>
    <row r="25" spans="1:15" ht="14.4">
      <c r="A25" s="424" t="s">
        <v>190</v>
      </c>
      <c r="B25" s="77" t="str">
        <f t="shared" si="2"/>
        <v>Not Eligible</v>
      </c>
      <c r="C25" s="77" t="str">
        <f t="shared" si="3"/>
        <v>Not Eligible</v>
      </c>
      <c r="D25" s="350">
        <f>(H8+'Lab Emissions'!K9)/MSRP!C11</f>
        <v>1.4316532813902258E-3</v>
      </c>
      <c r="E25" s="154"/>
      <c r="F25" s="350">
        <f>(+E8+F8+I8+M8+L8)/MSRP!L11</f>
        <v>9.6445603843149801</v>
      </c>
      <c r="G25" s="17">
        <f t="shared" si="0"/>
        <v>740.37347316225384</v>
      </c>
      <c r="H25" s="5">
        <f t="shared" si="1"/>
        <v>7</v>
      </c>
      <c r="L25" s="52"/>
      <c r="M25" s="34"/>
      <c r="N25" s="19"/>
      <c r="O25" s="6"/>
    </row>
    <row r="26" spans="1:15" ht="14.4">
      <c r="A26" s="422" t="s">
        <v>191</v>
      </c>
      <c r="B26" s="77" t="str">
        <f t="shared" si="2"/>
        <v>Not Eligible</v>
      </c>
      <c r="C26" s="77" t="str">
        <f t="shared" si="3"/>
        <v>Not Eligible</v>
      </c>
      <c r="D26" s="350">
        <f>(H9+'Lab Emissions'!K10)/MSRP!C12</f>
        <v>1.7838056026479376E-2</v>
      </c>
      <c r="E26" s="154"/>
      <c r="F26" s="485">
        <f>(+E9+F9+I9+M9+L9)/MSRP!L12</f>
        <v>13.160928044449738</v>
      </c>
      <c r="G26" s="17">
        <f t="shared" si="0"/>
        <v>926.1144573046538</v>
      </c>
      <c r="H26" s="5">
        <f t="shared" si="1"/>
        <v>5</v>
      </c>
      <c r="I26" s="155"/>
      <c r="L26" s="52"/>
      <c r="M26" s="34"/>
      <c r="N26" s="19"/>
      <c r="O26" s="6"/>
    </row>
    <row r="27" spans="1:15" ht="14.4">
      <c r="A27" s="422" t="s">
        <v>192</v>
      </c>
      <c r="B27" s="77" t="str">
        <f t="shared" si="2"/>
        <v>Not Eligible</v>
      </c>
      <c r="C27" s="77" t="str">
        <f t="shared" si="3"/>
        <v>Not Eligible</v>
      </c>
      <c r="D27" s="350">
        <f>(H10+'Lab Emissions'!K11)/MSRP!C13</f>
        <v>1.5281566509115461E-2</v>
      </c>
      <c r="E27" s="154"/>
      <c r="F27" s="350">
        <f>(+E10+F10+I10+M10+L10)/MSRP!L13</f>
        <v>13.123673350550208</v>
      </c>
      <c r="G27" s="17">
        <f t="shared" si="0"/>
        <v>958.55889523616588</v>
      </c>
      <c r="H27" s="5">
        <f t="shared" si="1"/>
        <v>4</v>
      </c>
      <c r="L27" s="52"/>
      <c r="M27" s="34"/>
      <c r="N27" s="19"/>
      <c r="O27" s="6"/>
    </row>
    <row r="28" spans="1:15" ht="14.4">
      <c r="A28" s="422" t="s">
        <v>193</v>
      </c>
      <c r="B28" s="77" t="str">
        <f t="shared" si="2"/>
        <v>Not Eligible</v>
      </c>
      <c r="C28" s="77" t="str">
        <f t="shared" si="3"/>
        <v>Not Eligible</v>
      </c>
      <c r="D28" s="350">
        <f>(H11+'Lab Emissions'!K12)/MSRP!C14</f>
        <v>2.0951345197637274E-2</v>
      </c>
      <c r="E28" s="154"/>
      <c r="F28" s="350">
        <f>(+E11+F11+I11+M11+L11)/MSRP!L14</f>
        <v>4.42679708744775</v>
      </c>
      <c r="G28" s="17">
        <f t="shared" si="0"/>
        <v>763.4542522997433</v>
      </c>
      <c r="H28" s="5">
        <f t="shared" si="1"/>
        <v>6</v>
      </c>
      <c r="L28" s="52"/>
      <c r="M28" s="34"/>
      <c r="N28" s="19"/>
      <c r="O28" s="6"/>
    </row>
    <row r="29" spans="1:15" ht="14.4">
      <c r="A29" s="422" t="s">
        <v>194</v>
      </c>
      <c r="B29" s="77" t="str">
        <f t="shared" si="2"/>
        <v>Not Eligible</v>
      </c>
      <c r="C29" s="77" t="str">
        <f t="shared" si="3"/>
        <v>Not Eligible</v>
      </c>
      <c r="D29" s="350">
        <f>(H12+'Lab Emissions'!K13)/MSRP!C15</f>
        <v>7.7408617975305398E-3</v>
      </c>
      <c r="E29" s="154"/>
      <c r="F29" s="350">
        <f>(+E12+F12+I12+M12+L12)/MSRP!L15</f>
        <v>8.1129700425501365</v>
      </c>
      <c r="G29" s="17">
        <f t="shared" si="0"/>
        <v>592.43963363904675</v>
      </c>
      <c r="H29" s="5">
        <f t="shared" si="1"/>
        <v>8</v>
      </c>
      <c r="L29" s="52"/>
      <c r="M29" s="34"/>
      <c r="N29" s="19"/>
      <c r="O29" s="6"/>
    </row>
    <row r="30" spans="1:15" s="162" customFormat="1" ht="14.4">
      <c r="A30" s="422" t="s">
        <v>195</v>
      </c>
      <c r="B30" s="77" t="str">
        <f t="shared" si="2"/>
        <v>Not Eligible</v>
      </c>
      <c r="C30" s="77" t="str">
        <f t="shared" si="3"/>
        <v>Not Eligible</v>
      </c>
      <c r="D30" s="350">
        <f>(H13+'Lab Emissions'!K14)/MSRP!C16</f>
        <v>0</v>
      </c>
      <c r="E30" s="154"/>
      <c r="F30" s="350">
        <f>(+E13+F13+I13+M13+L13)/MSRP!L16</f>
        <v>0</v>
      </c>
      <c r="G30" s="17">
        <f t="shared" si="0"/>
        <v>127.58828510691316</v>
      </c>
      <c r="H30" s="5">
        <f t="shared" si="1"/>
        <v>13</v>
      </c>
      <c r="J30" s="249"/>
      <c r="K30" s="234"/>
      <c r="L30" s="250"/>
      <c r="M30" s="247"/>
      <c r="N30" s="251"/>
      <c r="O30" s="239"/>
    </row>
    <row r="31" spans="1:15" ht="17.399999999999999">
      <c r="A31" s="422" t="s">
        <v>196</v>
      </c>
      <c r="B31" s="449">
        <f t="shared" si="2"/>
        <v>103.97027105262092</v>
      </c>
      <c r="C31" s="77">
        <f t="shared" si="3"/>
        <v>160.29428571428571</v>
      </c>
      <c r="D31" s="350">
        <f>(H14+'Lab Emissions'!K15)/MSRP!C17</f>
        <v>3.4272390055420293E-2</v>
      </c>
      <c r="E31" s="154"/>
      <c r="F31" s="350">
        <f>(+E14+F14+I14+M14+L14)/MSRP!L17</f>
        <v>11.007300210109204</v>
      </c>
      <c r="G31" s="17">
        <f t="shared" si="0"/>
        <v>1083.9461016901728</v>
      </c>
      <c r="H31" s="5">
        <f t="shared" si="1"/>
        <v>2</v>
      </c>
      <c r="I31" s="533" t="s">
        <v>291</v>
      </c>
      <c r="L31" s="52"/>
      <c r="M31" s="34"/>
      <c r="N31" s="19"/>
      <c r="O31" s="6"/>
    </row>
    <row r="32" spans="1:15" ht="14.4">
      <c r="A32" s="422" t="s">
        <v>197</v>
      </c>
      <c r="B32" s="77" t="str">
        <f t="shared" si="2"/>
        <v>Not Eligible</v>
      </c>
      <c r="C32" s="77" t="str">
        <f t="shared" si="3"/>
        <v>Not Eligible</v>
      </c>
      <c r="D32" s="350">
        <f>(H15+'Lab Emissions'!K16)/MSRP!C18</f>
        <v>2.054405805901233E-2</v>
      </c>
      <c r="E32" s="154"/>
      <c r="F32" s="350">
        <f>(+E15+F15+I15+M15+L15)/MSRP!L18</f>
        <v>4.5650210212485147</v>
      </c>
      <c r="G32" s="17">
        <f t="shared" si="0"/>
        <v>585.05677127057368</v>
      </c>
      <c r="H32" s="5">
        <f t="shared" si="1"/>
        <v>10</v>
      </c>
      <c r="L32" s="52"/>
      <c r="M32" s="34"/>
      <c r="N32" s="19"/>
      <c r="O32" s="6"/>
    </row>
    <row r="33" spans="1:15" ht="14.4">
      <c r="A33" s="422" t="s">
        <v>198</v>
      </c>
      <c r="B33" s="77" t="str">
        <f t="shared" si="2"/>
        <v>Not Eligible</v>
      </c>
      <c r="C33" s="77" t="str">
        <f t="shared" si="3"/>
        <v>Not Eligible</v>
      </c>
      <c r="D33" s="350">
        <f>(H16+'Lab Emissions'!K17)/MSRP!C19</f>
        <v>1.155887629228237E-3</v>
      </c>
      <c r="E33" s="154"/>
      <c r="F33" s="350">
        <f>(+E16+F16+I16+M16+L16)/MSRP!L19</f>
        <v>9.4399509803921546</v>
      </c>
      <c r="G33" s="17">
        <f t="shared" si="0"/>
        <v>526.22708537723838</v>
      </c>
      <c r="H33" s="5">
        <f t="shared" si="1"/>
        <v>11</v>
      </c>
    </row>
    <row r="34" spans="1:15" s="64" customFormat="1">
      <c r="A34" s="124"/>
      <c r="B34" s="178"/>
      <c r="C34" s="178"/>
      <c r="D34" s="179"/>
      <c r="E34" s="179"/>
      <c r="F34" s="179"/>
      <c r="G34" s="176"/>
      <c r="H34" s="180"/>
      <c r="I34" s="65"/>
      <c r="J34" s="36"/>
      <c r="K34" s="129"/>
      <c r="L34" s="65"/>
      <c r="M34" s="65"/>
      <c r="N34" s="65"/>
      <c r="O34" s="37"/>
    </row>
    <row r="35" spans="1:15" s="64" customFormat="1">
      <c r="A35" s="124"/>
      <c r="B35" s="247">
        <f>MAX(B21:B33)</f>
        <v>103.97027105262092</v>
      </c>
      <c r="C35" s="247">
        <f>MAX(C21:C33)</f>
        <v>213.59629629629629</v>
      </c>
      <c r="D35" s="349">
        <f>MAX(D21:D33)</f>
        <v>4.7154811824478921E-2</v>
      </c>
      <c r="E35" s="349"/>
      <c r="F35" s="349">
        <f>MAX(F21:F33)</f>
        <v>13.160928044449738</v>
      </c>
      <c r="G35" s="176"/>
      <c r="H35" s="180"/>
      <c r="I35" s="65"/>
      <c r="J35" s="36"/>
      <c r="K35" s="129"/>
      <c r="L35" s="65"/>
      <c r="M35" s="65"/>
      <c r="N35" s="65"/>
      <c r="O35" s="37"/>
    </row>
    <row r="36" spans="1:15" s="64" customFormat="1" ht="14.4">
      <c r="A36" s="426" t="s">
        <v>44</v>
      </c>
      <c r="C36" s="158"/>
      <c r="F36" s="77"/>
      <c r="G36" s="36"/>
      <c r="H36" s="65"/>
      <c r="I36" s="65"/>
      <c r="J36" s="36"/>
      <c r="K36" s="129"/>
      <c r="L36" s="65"/>
      <c r="M36" s="65"/>
      <c r="N36" s="65"/>
      <c r="O36" s="37"/>
    </row>
    <row r="37" spans="1:15" s="64" customFormat="1" ht="27.6">
      <c r="A37" s="516" t="s">
        <v>167</v>
      </c>
      <c r="B37" s="529" t="str">
        <f>+A21</f>
        <v>#1 Univ of Wisconsin-Madison</v>
      </c>
      <c r="C37" s="529"/>
      <c r="D37" s="529"/>
      <c r="E37" s="529"/>
      <c r="F37" s="77"/>
      <c r="G37" s="36"/>
      <c r="H37" s="65"/>
      <c r="I37" s="37"/>
      <c r="J37" s="192"/>
      <c r="K37" s="129"/>
      <c r="L37" s="37"/>
      <c r="M37" s="37"/>
      <c r="N37" s="37"/>
      <c r="O37" s="37"/>
    </row>
    <row r="38" spans="1:15" s="64" customFormat="1" ht="20.25" customHeight="1">
      <c r="A38" s="517" t="s">
        <v>289</v>
      </c>
      <c r="B38" s="531" t="str">
        <f>+A23</f>
        <v>#3 École De Technologie Supérieure</v>
      </c>
      <c r="C38" s="531"/>
      <c r="D38" s="531"/>
      <c r="E38" s="531"/>
      <c r="F38" s="533" t="s">
        <v>291</v>
      </c>
      <c r="G38" s="36"/>
      <c r="H38" s="65"/>
      <c r="I38" s="37"/>
      <c r="J38" s="192"/>
      <c r="K38" s="129"/>
      <c r="L38" s="37"/>
      <c r="M38" s="37"/>
      <c r="N38" s="37"/>
      <c r="O38" s="37"/>
    </row>
    <row r="39" spans="1:15" s="64" customFormat="1" ht="19.5" customHeight="1">
      <c r="A39" s="517" t="s">
        <v>290</v>
      </c>
      <c r="B39" s="127" t="str">
        <f>A31</f>
        <v>#11 Clarkson University</v>
      </c>
      <c r="C39" s="300"/>
      <c r="D39" s="300"/>
      <c r="E39" s="300"/>
      <c r="F39" s="533" t="s">
        <v>291</v>
      </c>
      <c r="G39" s="36"/>
      <c r="H39" s="65"/>
      <c r="I39" s="37"/>
      <c r="J39" s="192"/>
      <c r="K39" s="129"/>
      <c r="L39" s="37"/>
      <c r="M39" s="37"/>
      <c r="N39" s="37"/>
      <c r="O39" s="37"/>
    </row>
    <row r="40" spans="1:15" s="64" customFormat="1" ht="14.4" customHeight="1">
      <c r="A40" s="517" t="s">
        <v>285</v>
      </c>
      <c r="B40" s="529" t="str">
        <f>+A31</f>
        <v>#11 Clarkson University</v>
      </c>
      <c r="C40" s="529"/>
      <c r="D40" s="529"/>
      <c r="E40" s="529"/>
      <c r="F40" s="77"/>
      <c r="G40" s="37"/>
      <c r="H40" s="37"/>
      <c r="I40" s="37"/>
      <c r="J40" s="192"/>
      <c r="K40" s="129"/>
      <c r="L40" s="37"/>
      <c r="M40" s="37"/>
      <c r="N40" s="37"/>
      <c r="O40" s="37"/>
    </row>
    <row r="41" spans="1:15" s="64" customFormat="1" ht="14.4" customHeight="1">
      <c r="A41" s="517" t="s">
        <v>84</v>
      </c>
      <c r="B41" s="531" t="str">
        <f>+A32</f>
        <v>#12 Rochester Institute of Technolgy</v>
      </c>
      <c r="C41" s="531"/>
      <c r="D41" s="531"/>
      <c r="E41" s="531"/>
      <c r="F41" s="77"/>
      <c r="G41" s="37"/>
      <c r="H41" s="37"/>
      <c r="I41" s="37"/>
      <c r="J41" s="192"/>
      <c r="K41" s="129"/>
      <c r="L41" s="37"/>
      <c r="M41" s="37"/>
      <c r="N41" s="37"/>
      <c r="O41" s="37"/>
    </row>
    <row r="42" spans="1:15" ht="14.4" customHeight="1">
      <c r="A42" s="518" t="s">
        <v>85</v>
      </c>
      <c r="B42" s="529" t="str">
        <f>A21</f>
        <v>#1 Univ of Wisconsin-Madison</v>
      </c>
      <c r="C42" s="529"/>
      <c r="D42" s="529"/>
      <c r="E42" s="529"/>
      <c r="F42" s="77"/>
    </row>
    <row r="43" spans="1:15" s="64" customFormat="1" ht="14.4" customHeight="1">
      <c r="A43" s="517" t="s">
        <v>66</v>
      </c>
      <c r="B43" s="529" t="str">
        <f>+A21</f>
        <v>#1 Univ of Wisconsin-Madison</v>
      </c>
      <c r="C43" s="529"/>
      <c r="D43" s="529"/>
      <c r="E43" s="529"/>
      <c r="F43" s="77"/>
      <c r="G43" s="37"/>
      <c r="H43" s="37"/>
      <c r="I43" s="37"/>
      <c r="J43" s="192"/>
      <c r="K43" s="129"/>
      <c r="L43" s="37"/>
      <c r="M43" s="37"/>
      <c r="N43" s="37"/>
      <c r="O43" s="37"/>
    </row>
    <row r="44" spans="1:15" s="64" customFormat="1" ht="14.4" customHeight="1">
      <c r="A44" s="517" t="s">
        <v>67</v>
      </c>
      <c r="B44" s="530" t="str">
        <f>+A25</f>
        <v>#5 Univ of Idaho</v>
      </c>
      <c r="C44" s="528"/>
      <c r="D44" s="528"/>
      <c r="E44" s="528"/>
      <c r="F44" s="77"/>
      <c r="G44" s="37"/>
      <c r="H44" s="37"/>
      <c r="I44" s="37"/>
      <c r="J44" s="192"/>
      <c r="K44" s="129"/>
      <c r="L44" s="37"/>
      <c r="M44" s="37"/>
      <c r="N44" s="37"/>
      <c r="O44" s="37"/>
    </row>
    <row r="45" spans="1:15" s="64" customFormat="1" ht="14.4" customHeight="1">
      <c r="A45" s="517" t="s">
        <v>286</v>
      </c>
      <c r="B45" s="528" t="str">
        <f>+A21</f>
        <v>#1 Univ of Wisconsin-Madison</v>
      </c>
      <c r="C45" s="528"/>
      <c r="D45" s="528"/>
      <c r="E45" s="528"/>
      <c r="F45" s="77"/>
      <c r="G45" s="37"/>
      <c r="H45" s="37"/>
      <c r="I45" s="37"/>
      <c r="J45" s="192"/>
      <c r="K45" s="129"/>
      <c r="L45" s="37"/>
      <c r="M45" s="37"/>
      <c r="N45" s="37"/>
      <c r="O45" s="37"/>
    </row>
    <row r="46" spans="1:15" ht="14.4" customHeight="1">
      <c r="A46" s="519" t="s">
        <v>68</v>
      </c>
      <c r="B46" s="528" t="str">
        <f>+A22</f>
        <v>#2 Kettering University</v>
      </c>
      <c r="C46" s="528"/>
      <c r="D46" s="528"/>
      <c r="E46" s="528"/>
      <c r="F46" s="77"/>
      <c r="G46" s="37"/>
      <c r="H46" s="37"/>
      <c r="I46" s="6"/>
      <c r="J46" s="190"/>
      <c r="K46" s="18"/>
      <c r="L46" s="6"/>
      <c r="M46" s="6"/>
      <c r="N46" s="6"/>
      <c r="O46" s="6"/>
    </row>
    <row r="47" spans="1:15" ht="14.4" customHeight="1">
      <c r="A47" s="519" t="s">
        <v>284</v>
      </c>
      <c r="B47" s="528" t="s">
        <v>190</v>
      </c>
      <c r="C47" s="528"/>
      <c r="D47" s="528"/>
      <c r="E47" s="528"/>
      <c r="F47" s="77"/>
      <c r="G47" s="37"/>
      <c r="H47" s="37"/>
    </row>
    <row r="48" spans="1:15" ht="18" customHeight="1">
      <c r="A48" s="378" t="s">
        <v>71</v>
      </c>
      <c r="B48" s="527" t="s">
        <v>192</v>
      </c>
      <c r="C48" s="527"/>
      <c r="D48" s="527"/>
      <c r="E48" s="527"/>
      <c r="F48" s="77"/>
      <c r="G48" s="6"/>
      <c r="H48" s="6"/>
    </row>
    <row r="49" spans="1:11" ht="13.8">
      <c r="A49" s="378" t="s">
        <v>69</v>
      </c>
      <c r="B49" s="527" t="s">
        <v>192</v>
      </c>
      <c r="C49" s="527"/>
      <c r="D49" s="527"/>
      <c r="E49" s="527"/>
      <c r="F49" s="77"/>
    </row>
    <row r="50" spans="1:11" ht="13.8">
      <c r="A50" s="519" t="s">
        <v>123</v>
      </c>
      <c r="B50" s="525" t="str">
        <f>A25</f>
        <v>#5 Univ of Idaho</v>
      </c>
      <c r="C50" s="526"/>
      <c r="D50" s="526"/>
      <c r="E50" s="526"/>
      <c r="F50" s="17"/>
    </row>
    <row r="51" spans="1:11" ht="13.8">
      <c r="A51" s="520" t="s">
        <v>169</v>
      </c>
      <c r="B51" s="526" t="s">
        <v>281</v>
      </c>
      <c r="C51" s="526"/>
      <c r="D51" s="526"/>
      <c r="E51" s="526"/>
      <c r="F51" s="77"/>
    </row>
    <row r="52" spans="1:11" ht="13.8">
      <c r="A52" s="520" t="s">
        <v>251</v>
      </c>
      <c r="B52" s="526" t="s">
        <v>188</v>
      </c>
      <c r="C52" s="526"/>
      <c r="D52" s="526"/>
      <c r="E52" s="526"/>
      <c r="F52" s="77"/>
    </row>
    <row r="53" spans="1:11">
      <c r="A53" s="520" t="s">
        <v>122</v>
      </c>
      <c r="B53" s="522" t="s">
        <v>189</v>
      </c>
    </row>
    <row r="54" spans="1:11" ht="13.8">
      <c r="A54" s="378" t="s">
        <v>171</v>
      </c>
      <c r="B54" s="526" t="s">
        <v>281</v>
      </c>
      <c r="C54" s="526"/>
      <c r="D54" s="526"/>
      <c r="E54" s="526"/>
      <c r="F54" s="77"/>
    </row>
    <row r="55" spans="1:11" ht="13.8">
      <c r="A55" s="378" t="s">
        <v>287</v>
      </c>
      <c r="B55" s="468" t="str">
        <f>A32</f>
        <v>#12 Rochester Institute of Technolgy</v>
      </c>
      <c r="C55" s="468"/>
      <c r="D55" s="468"/>
      <c r="E55" s="468"/>
      <c r="F55" s="77"/>
    </row>
    <row r="56" spans="1:11" ht="13.8">
      <c r="A56" s="520" t="s">
        <v>170</v>
      </c>
      <c r="B56" s="526" t="s">
        <v>192</v>
      </c>
      <c r="C56" s="526"/>
      <c r="D56" s="526"/>
      <c r="E56" s="526"/>
      <c r="F56" s="77"/>
    </row>
    <row r="57" spans="1:11" ht="13.8">
      <c r="A57" s="378" t="s">
        <v>288</v>
      </c>
      <c r="B57" s="525" t="str">
        <f>A25</f>
        <v>#5 Univ of Idaho</v>
      </c>
      <c r="C57" s="526"/>
      <c r="D57" s="526"/>
      <c r="E57" s="526"/>
      <c r="F57" s="521" t="str">
        <f>A22</f>
        <v>#2 Kettering University</v>
      </c>
      <c r="G57" s="127"/>
      <c r="H57" s="127" t="str">
        <f>A21</f>
        <v>#1 Univ of Wisconsin-Madison</v>
      </c>
      <c r="I57" s="127"/>
    </row>
    <row r="58" spans="1:11">
      <c r="A58" s="378" t="s">
        <v>283</v>
      </c>
      <c r="B58" s="522" t="str">
        <f>A25</f>
        <v>#5 Univ of Idaho</v>
      </c>
    </row>
    <row r="59" spans="1:11" s="127" customFormat="1" ht="14.4">
      <c r="A59" s="421" t="s">
        <v>282</v>
      </c>
      <c r="B59" s="523" t="str">
        <f>A26</f>
        <v>#6 Michigan Tech University</v>
      </c>
      <c r="C59" s="165"/>
      <c r="D59" s="379"/>
      <c r="E59" s="379"/>
      <c r="F59" s="449"/>
      <c r="J59" s="524"/>
      <c r="K59" s="2"/>
    </row>
    <row r="60" spans="1:11" s="1" customFormat="1" ht="14.4">
      <c r="A60" s="316"/>
      <c r="B60" s="346"/>
      <c r="C60" s="17"/>
      <c r="D60" s="27"/>
      <c r="E60" s="76"/>
      <c r="F60" s="77"/>
      <c r="J60" s="194"/>
      <c r="K60" s="59"/>
    </row>
    <row r="61" spans="1:11" s="1" customFormat="1">
      <c r="A61" s="195"/>
      <c r="B61" s="347"/>
      <c r="C61" s="348"/>
      <c r="J61" s="194"/>
      <c r="K61" s="59"/>
    </row>
    <row r="62" spans="1:11" s="1" customFormat="1">
      <c r="A62" s="195"/>
      <c r="C62" s="59"/>
      <c r="J62" s="194"/>
      <c r="K62" s="59"/>
    </row>
    <row r="63" spans="1:11" s="1" customFormat="1">
      <c r="A63" s="195"/>
      <c r="C63" s="59"/>
      <c r="J63" s="194"/>
      <c r="K63" s="59"/>
    </row>
    <row r="64" spans="1:11" s="1" customFormat="1">
      <c r="A64" s="195"/>
      <c r="C64" s="59"/>
      <c r="J64" s="194"/>
      <c r="K64" s="59"/>
    </row>
    <row r="65" spans="1:11" s="1" customFormat="1">
      <c r="A65" s="195"/>
      <c r="C65" s="59"/>
      <c r="J65" s="194"/>
      <c r="K65" s="59"/>
    </row>
    <row r="66" spans="1:11" s="1" customFormat="1">
      <c r="A66" s="195"/>
      <c r="C66" s="59"/>
      <c r="J66" s="194"/>
      <c r="K66" s="59"/>
    </row>
    <row r="67" spans="1:11" s="1" customFormat="1">
      <c r="A67" s="195"/>
      <c r="C67" s="59"/>
      <c r="J67" s="194"/>
      <c r="K67" s="59"/>
    </row>
  </sheetData>
  <mergeCells count="18">
    <mergeCell ref="B38:E38"/>
    <mergeCell ref="B40:E40"/>
    <mergeCell ref="B37:E37"/>
    <mergeCell ref="B41:E41"/>
    <mergeCell ref="B42:E42"/>
    <mergeCell ref="B47:E47"/>
    <mergeCell ref="B43:E43"/>
    <mergeCell ref="B44:E44"/>
    <mergeCell ref="B46:E46"/>
    <mergeCell ref="B45:E45"/>
    <mergeCell ref="B57:E57"/>
    <mergeCell ref="B54:E54"/>
    <mergeCell ref="B48:E48"/>
    <mergeCell ref="B49:E49"/>
    <mergeCell ref="B50:E50"/>
    <mergeCell ref="B56:E56"/>
    <mergeCell ref="B51:E51"/>
    <mergeCell ref="B52:E52"/>
  </mergeCells>
  <phoneticPr fontId="24" type="noConversion"/>
  <printOptions gridLines="1"/>
  <pageMargins left="0.75" right="0.75" top="1" bottom="1" header="0.5" footer="0.5"/>
  <pageSetup scale="54" orientation="landscape" horizontalDpi="4294967294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K97"/>
  <sheetViews>
    <sheetView zoomScale="97" zoomScaleNormal="97" zoomScalePageLayoutView="125" workbookViewId="0">
      <pane xSplit="1" ySplit="4" topLeftCell="G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ColWidth="8.88671875" defaultRowHeight="13.2"/>
  <cols>
    <col min="1" max="1" width="40.88671875" customWidth="1"/>
    <col min="2" max="3" width="12.44140625" style="300" customWidth="1"/>
    <col min="4" max="4" width="8.44140625" style="300" customWidth="1"/>
    <col min="5" max="5" width="12.44140625" style="300" customWidth="1"/>
    <col min="6" max="6" width="10.6640625" style="300" customWidth="1"/>
    <col min="7" max="8" width="12.44140625" style="300" customWidth="1"/>
    <col min="9" max="9" width="9.33203125" customWidth="1"/>
    <col min="10" max="10" width="9.33203125" style="340" customWidth="1"/>
    <col min="11" max="11" width="9.5546875" customWidth="1"/>
    <col min="13" max="13" width="10" customWidth="1"/>
    <col min="14" max="14" width="9.109375" style="3" customWidth="1"/>
    <col min="15" max="15" width="10.6640625" style="3" customWidth="1"/>
    <col min="16" max="16" width="8.6640625" style="3" customWidth="1"/>
    <col min="17" max="17" width="3" style="3" customWidth="1"/>
    <col min="18" max="24" width="8.6640625" style="40" customWidth="1"/>
    <col min="25" max="25" width="10" style="40" customWidth="1"/>
    <col min="26" max="27" width="8.6640625" style="40" customWidth="1"/>
    <col min="28" max="28" width="8.6640625" customWidth="1"/>
    <col min="29" max="29" width="2.109375" customWidth="1"/>
    <col min="30" max="30" width="16.33203125" style="3" customWidth="1"/>
    <col min="31" max="31" width="12.6640625" style="3" customWidth="1"/>
    <col min="32" max="35" width="8.6640625" customWidth="1"/>
  </cols>
  <sheetData>
    <row r="1" spans="1:37" ht="35.4" thickBot="1">
      <c r="A1" s="505" t="s">
        <v>181</v>
      </c>
      <c r="B1" s="7"/>
      <c r="C1" s="239"/>
      <c r="D1" s="239"/>
      <c r="E1" s="239"/>
      <c r="F1" s="239"/>
      <c r="G1" s="239"/>
      <c r="H1" s="239"/>
      <c r="I1" s="21"/>
      <c r="J1" s="331" t="s">
        <v>91</v>
      </c>
      <c r="K1" s="204"/>
      <c r="L1" s="204"/>
      <c r="M1" s="21"/>
      <c r="N1" s="203" t="s">
        <v>92</v>
      </c>
      <c r="O1" s="204"/>
      <c r="P1" s="204"/>
      <c r="Q1" s="28"/>
      <c r="R1" s="115"/>
      <c r="S1" s="80"/>
      <c r="T1" s="81"/>
      <c r="U1" s="81"/>
      <c r="V1" s="81"/>
      <c r="W1" s="81"/>
      <c r="X1" s="81"/>
      <c r="Y1" s="81"/>
      <c r="Z1" s="81"/>
      <c r="AA1" s="81"/>
      <c r="AB1" s="82"/>
      <c r="AC1" s="83"/>
      <c r="AD1" s="84"/>
      <c r="AE1" s="59"/>
      <c r="AF1" s="1"/>
      <c r="AG1" s="1"/>
      <c r="AH1" s="1"/>
    </row>
    <row r="2" spans="1:37" ht="18" thickBot="1">
      <c r="A2" s="377"/>
      <c r="B2" s="7"/>
      <c r="C2" s="239"/>
      <c r="D2" s="239"/>
      <c r="E2" s="239"/>
      <c r="F2" s="239"/>
      <c r="G2" s="239"/>
      <c r="H2" s="255"/>
      <c r="I2" s="24"/>
      <c r="J2" s="332" t="s">
        <v>93</v>
      </c>
      <c r="K2" s="205"/>
      <c r="L2" s="206"/>
      <c r="M2" s="21"/>
      <c r="N2" s="207" t="s">
        <v>94</v>
      </c>
      <c r="O2" s="205"/>
      <c r="P2" s="206"/>
      <c r="Q2" s="51"/>
      <c r="R2" s="117"/>
      <c r="S2" s="87"/>
      <c r="T2" s="87"/>
      <c r="U2" s="81"/>
      <c r="V2" s="81"/>
      <c r="W2" s="81"/>
      <c r="X2" s="81"/>
      <c r="Y2" s="81"/>
      <c r="Z2" s="81"/>
      <c r="AA2" s="81"/>
      <c r="AB2" s="82"/>
      <c r="AC2" s="83"/>
      <c r="AD2" s="84"/>
      <c r="AE2" s="59"/>
      <c r="AF2" s="1"/>
      <c r="AG2" s="1"/>
      <c r="AH2" s="1"/>
    </row>
    <row r="3" spans="1:37" ht="15.6">
      <c r="A3" s="376"/>
      <c r="B3" s="62"/>
      <c r="C3" s="255"/>
      <c r="D3" s="255"/>
      <c r="E3" s="255"/>
      <c r="F3" s="255"/>
      <c r="G3" s="255"/>
      <c r="J3" s="333"/>
      <c r="K3" s="24"/>
      <c r="L3" s="208"/>
      <c r="M3" s="24"/>
      <c r="N3" s="209"/>
      <c r="O3" s="24"/>
      <c r="P3" s="208"/>
      <c r="Q3" s="23"/>
      <c r="R3" s="118"/>
      <c r="S3" s="89"/>
      <c r="T3" s="87"/>
      <c r="U3" s="81"/>
      <c r="V3" s="81"/>
      <c r="W3" s="81"/>
      <c r="X3" s="81"/>
      <c r="Y3" s="81"/>
      <c r="Z3" s="81"/>
      <c r="AA3" s="81"/>
      <c r="AB3" s="82"/>
      <c r="AC3" s="83"/>
      <c r="AD3" s="84"/>
      <c r="AE3" s="59"/>
      <c r="AF3" s="1"/>
      <c r="AG3" s="1"/>
      <c r="AH3" s="1"/>
    </row>
    <row r="4" spans="1:37" ht="39.6">
      <c r="A4" s="210" t="s">
        <v>95</v>
      </c>
      <c r="B4" s="212" t="s">
        <v>96</v>
      </c>
      <c r="C4" s="211" t="s">
        <v>97</v>
      </c>
      <c r="D4" s="211" t="s">
        <v>98</v>
      </c>
      <c r="E4" s="211" t="s">
        <v>99</v>
      </c>
      <c r="F4" s="211" t="s">
        <v>100</v>
      </c>
      <c r="G4" s="212" t="s">
        <v>124</v>
      </c>
      <c r="H4" s="211" t="s">
        <v>101</v>
      </c>
      <c r="I4" s="213"/>
      <c r="J4" s="334" t="s">
        <v>102</v>
      </c>
      <c r="K4" s="212" t="s">
        <v>103</v>
      </c>
      <c r="L4" s="215" t="s">
        <v>104</v>
      </c>
      <c r="M4" s="216"/>
      <c r="N4" s="214" t="s">
        <v>105</v>
      </c>
      <c r="O4" s="212" t="s">
        <v>113</v>
      </c>
      <c r="P4" s="215" t="s">
        <v>82</v>
      </c>
      <c r="Q4" s="23"/>
      <c r="R4" s="506" t="s">
        <v>20</v>
      </c>
      <c r="S4" s="89"/>
      <c r="T4" s="87"/>
      <c r="U4" s="81"/>
      <c r="V4" s="81"/>
      <c r="W4" s="81"/>
      <c r="X4" s="81"/>
      <c r="Y4" s="81"/>
      <c r="Z4" s="81"/>
      <c r="AA4" s="81"/>
      <c r="AB4" s="82"/>
      <c r="AC4" s="83"/>
      <c r="AD4" s="84"/>
      <c r="AE4" s="59"/>
      <c r="AF4" s="1"/>
      <c r="AG4" s="1"/>
      <c r="AH4" s="1"/>
    </row>
    <row r="5" spans="1:37" ht="14.4">
      <c r="A5" s="422" t="s">
        <v>186</v>
      </c>
      <c r="B5" s="418" t="s">
        <v>241</v>
      </c>
      <c r="C5" s="418" t="s">
        <v>241</v>
      </c>
      <c r="D5" s="418" t="s">
        <v>241</v>
      </c>
      <c r="E5" s="418" t="s">
        <v>241</v>
      </c>
      <c r="F5" s="418" t="s">
        <v>241</v>
      </c>
      <c r="G5" s="418" t="s">
        <v>241</v>
      </c>
      <c r="H5" s="418" t="s">
        <v>241</v>
      </c>
      <c r="I5" s="459"/>
      <c r="J5" s="418">
        <v>204.55</v>
      </c>
      <c r="K5" s="418">
        <v>280.54000000000002</v>
      </c>
      <c r="L5" s="419">
        <v>2</v>
      </c>
      <c r="M5" s="217"/>
      <c r="N5" s="418">
        <v>447.59</v>
      </c>
      <c r="O5" s="418">
        <v>36.39</v>
      </c>
      <c r="P5" s="400">
        <f>RANK(O5,$O$5:$O$17)</f>
        <v>7</v>
      </c>
      <c r="Q5" s="28"/>
      <c r="R5" s="266">
        <f>K5+O5</f>
        <v>316.93</v>
      </c>
      <c r="S5" s="80"/>
      <c r="T5" s="80"/>
      <c r="U5" s="80"/>
      <c r="V5" s="80"/>
      <c r="W5" s="80"/>
      <c r="X5" s="80"/>
      <c r="Y5" s="80"/>
      <c r="Z5" s="80"/>
      <c r="AA5" s="80"/>
      <c r="AB5" s="79"/>
      <c r="AC5" s="90"/>
      <c r="AD5" s="91"/>
    </row>
    <row r="6" spans="1:37" ht="14.4">
      <c r="A6" s="422" t="s">
        <v>187</v>
      </c>
      <c r="B6" s="418" t="s">
        <v>241</v>
      </c>
      <c r="C6" s="418" t="s">
        <v>242</v>
      </c>
      <c r="D6" s="418" t="s">
        <v>242</v>
      </c>
      <c r="E6" s="418" t="s">
        <v>242</v>
      </c>
      <c r="F6" s="418" t="s">
        <v>242</v>
      </c>
      <c r="G6" s="418" t="s">
        <v>242</v>
      </c>
      <c r="H6" s="418" t="s">
        <v>242</v>
      </c>
      <c r="I6" s="459"/>
      <c r="J6" s="418">
        <v>0</v>
      </c>
      <c r="K6" s="418">
        <v>10</v>
      </c>
      <c r="L6" s="419">
        <v>10</v>
      </c>
      <c r="M6" s="217"/>
      <c r="N6" s="418">
        <v>0</v>
      </c>
      <c r="O6" s="418">
        <v>0</v>
      </c>
      <c r="P6" s="400">
        <v>10</v>
      </c>
      <c r="Q6" s="28"/>
      <c r="R6" s="266">
        <f t="shared" ref="R6:R17" si="0">K6+O6</f>
        <v>10</v>
      </c>
      <c r="S6" s="80"/>
      <c r="T6" s="80"/>
      <c r="U6" s="80"/>
      <c r="V6" s="80"/>
      <c r="W6" s="80"/>
      <c r="X6" s="80"/>
      <c r="Y6" s="80"/>
      <c r="Z6" s="80"/>
      <c r="AA6" s="80"/>
      <c r="AB6" s="79"/>
      <c r="AC6" s="90"/>
      <c r="AD6" s="91"/>
      <c r="AJ6" s="30"/>
      <c r="AK6" s="30"/>
    </row>
    <row r="7" spans="1:37" ht="14.4">
      <c r="A7" s="423" t="s">
        <v>188</v>
      </c>
      <c r="B7" s="418" t="s">
        <v>241</v>
      </c>
      <c r="C7" s="418" t="s">
        <v>241</v>
      </c>
      <c r="D7" s="418" t="s">
        <v>241</v>
      </c>
      <c r="E7" s="418" t="s">
        <v>241</v>
      </c>
      <c r="F7" s="418" t="s">
        <v>241</v>
      </c>
      <c r="G7" s="418" t="s">
        <v>241</v>
      </c>
      <c r="H7" s="418" t="s">
        <v>241</v>
      </c>
      <c r="I7" s="460"/>
      <c r="J7" s="418">
        <v>178.93</v>
      </c>
      <c r="K7" s="418">
        <v>189.04</v>
      </c>
      <c r="L7" s="419">
        <v>7</v>
      </c>
      <c r="M7" s="217"/>
      <c r="N7" s="418">
        <v>335.88</v>
      </c>
      <c r="O7" s="418">
        <v>48.72</v>
      </c>
      <c r="P7" s="400">
        <f t="shared" ref="P7:P12" si="1">RANK(O7,$O$5:$O$17)</f>
        <v>2</v>
      </c>
      <c r="Q7" s="28"/>
      <c r="R7" s="266">
        <f t="shared" si="0"/>
        <v>237.76</v>
      </c>
      <c r="S7" s="80"/>
      <c r="T7" s="80"/>
      <c r="U7" s="80"/>
      <c r="V7" s="80"/>
      <c r="W7" s="80"/>
      <c r="X7" s="80"/>
      <c r="Y7" s="80"/>
      <c r="Z7" s="80"/>
      <c r="AA7" s="80"/>
      <c r="AB7" s="79"/>
      <c r="AC7" s="90"/>
      <c r="AD7" s="91"/>
      <c r="AJ7" s="30"/>
      <c r="AK7" s="30"/>
    </row>
    <row r="8" spans="1:37" s="199" customFormat="1" ht="14.4">
      <c r="A8" s="422" t="s">
        <v>189</v>
      </c>
      <c r="B8" s="418" t="s">
        <v>241</v>
      </c>
      <c r="C8" s="418" t="s">
        <v>241</v>
      </c>
      <c r="D8" s="418" t="s">
        <v>241</v>
      </c>
      <c r="E8" s="418" t="s">
        <v>241</v>
      </c>
      <c r="F8" s="418" t="s">
        <v>242</v>
      </c>
      <c r="G8" s="418" t="s">
        <v>241</v>
      </c>
      <c r="H8" s="418" t="s">
        <v>242</v>
      </c>
      <c r="I8" s="459"/>
      <c r="J8" s="418">
        <v>150.66</v>
      </c>
      <c r="K8" s="418">
        <v>20</v>
      </c>
      <c r="L8" s="419">
        <v>8</v>
      </c>
      <c r="M8" s="228"/>
      <c r="N8" s="418">
        <v>430.49</v>
      </c>
      <c r="O8" s="418">
        <v>38.28</v>
      </c>
      <c r="P8" s="400">
        <f t="shared" si="1"/>
        <v>6</v>
      </c>
      <c r="Q8" s="224"/>
      <c r="R8" s="266">
        <f t="shared" si="0"/>
        <v>58.28</v>
      </c>
      <c r="S8" s="229"/>
      <c r="T8" s="229"/>
      <c r="U8" s="229"/>
      <c r="V8" s="229"/>
      <c r="W8" s="229"/>
      <c r="X8" s="229"/>
      <c r="Y8" s="229"/>
      <c r="Z8" s="229"/>
      <c r="AA8" s="229"/>
      <c r="AB8" s="202"/>
      <c r="AD8" s="200"/>
      <c r="AE8" s="200"/>
      <c r="AJ8" s="230"/>
      <c r="AK8" s="230"/>
    </row>
    <row r="9" spans="1:37" ht="14.4">
      <c r="A9" s="424" t="s">
        <v>190</v>
      </c>
      <c r="B9" s="418" t="s">
        <v>241</v>
      </c>
      <c r="C9" s="418" t="s">
        <v>242</v>
      </c>
      <c r="D9" s="418" t="s">
        <v>242</v>
      </c>
      <c r="E9" s="418" t="s">
        <v>242</v>
      </c>
      <c r="F9" s="418" t="s">
        <v>242</v>
      </c>
      <c r="G9" s="418" t="s">
        <v>242</v>
      </c>
      <c r="H9" s="418" t="s">
        <v>242</v>
      </c>
      <c r="I9" s="459"/>
      <c r="J9" s="418">
        <v>0</v>
      </c>
      <c r="K9" s="418">
        <v>10</v>
      </c>
      <c r="L9" s="419">
        <v>12</v>
      </c>
      <c r="M9" s="228"/>
      <c r="N9" s="418">
        <v>0</v>
      </c>
      <c r="O9" s="418">
        <v>0</v>
      </c>
      <c r="P9" s="400">
        <v>12</v>
      </c>
      <c r="Q9" s="28"/>
      <c r="R9" s="266">
        <f t="shared" si="0"/>
        <v>10</v>
      </c>
      <c r="S9" s="80"/>
      <c r="T9" s="80"/>
      <c r="U9" s="80"/>
      <c r="V9" s="80"/>
      <c r="W9" s="80"/>
      <c r="X9" s="80"/>
      <c r="Y9" s="80"/>
      <c r="Z9" s="80"/>
      <c r="AA9" s="80"/>
      <c r="AB9" s="79"/>
      <c r="AC9" s="90"/>
      <c r="AD9" s="91"/>
      <c r="AJ9" s="30"/>
      <c r="AK9" s="30"/>
    </row>
    <row r="10" spans="1:37" ht="14.4">
      <c r="A10" s="422" t="s">
        <v>191</v>
      </c>
      <c r="B10" s="418" t="s">
        <v>241</v>
      </c>
      <c r="C10" s="418" t="s">
        <v>241</v>
      </c>
      <c r="D10" s="418" t="s">
        <v>241</v>
      </c>
      <c r="E10" s="418" t="s">
        <v>241</v>
      </c>
      <c r="F10" s="418" t="s">
        <v>241</v>
      </c>
      <c r="G10" s="418" t="s">
        <v>241</v>
      </c>
      <c r="H10" s="418" t="s">
        <v>241</v>
      </c>
      <c r="I10" s="461"/>
      <c r="J10" s="418">
        <v>185.77</v>
      </c>
      <c r="K10" s="418">
        <v>213.46</v>
      </c>
      <c r="L10" s="419">
        <v>6</v>
      </c>
      <c r="M10" s="217"/>
      <c r="N10" s="418">
        <v>374.07</v>
      </c>
      <c r="O10" s="418">
        <v>44.51</v>
      </c>
      <c r="P10" s="400">
        <f t="shared" si="1"/>
        <v>3</v>
      </c>
      <c r="Q10" s="28"/>
      <c r="R10" s="266">
        <f t="shared" si="0"/>
        <v>257.97000000000003</v>
      </c>
      <c r="S10" s="93"/>
      <c r="T10" s="93"/>
      <c r="U10" s="93"/>
      <c r="V10" s="80"/>
      <c r="W10" s="80"/>
      <c r="X10" s="80"/>
      <c r="Y10" s="80"/>
      <c r="Z10" s="80"/>
      <c r="AA10" s="80"/>
      <c r="AB10" s="79"/>
      <c r="AC10" s="90"/>
      <c r="AD10" s="91"/>
      <c r="AJ10" s="30"/>
      <c r="AK10" s="30"/>
    </row>
    <row r="11" spans="1:37" ht="14.4">
      <c r="A11" s="422" t="s">
        <v>192</v>
      </c>
      <c r="B11" s="418" t="s">
        <v>241</v>
      </c>
      <c r="C11" s="418" t="s">
        <v>241</v>
      </c>
      <c r="D11" s="418" t="s">
        <v>241</v>
      </c>
      <c r="E11" s="418" t="s">
        <v>241</v>
      </c>
      <c r="F11" s="418" t="s">
        <v>241</v>
      </c>
      <c r="G11" s="418" t="s">
        <v>241</v>
      </c>
      <c r="H11" s="418" t="s">
        <v>241</v>
      </c>
      <c r="I11" s="459"/>
      <c r="J11" s="418">
        <v>187.27</v>
      </c>
      <c r="K11" s="418">
        <v>218.82</v>
      </c>
      <c r="L11" s="419">
        <v>5</v>
      </c>
      <c r="M11" s="217"/>
      <c r="N11" s="418">
        <v>324.33</v>
      </c>
      <c r="O11" s="418">
        <v>50</v>
      </c>
      <c r="P11" s="400">
        <f t="shared" si="1"/>
        <v>1</v>
      </c>
      <c r="Q11" s="28"/>
      <c r="R11" s="266">
        <f t="shared" si="0"/>
        <v>268.82</v>
      </c>
      <c r="S11" s="93"/>
      <c r="T11" s="93"/>
      <c r="U11" s="93"/>
      <c r="V11" s="80"/>
      <c r="W11" s="80"/>
      <c r="X11" s="80"/>
      <c r="Y11" s="80"/>
      <c r="Z11" s="80"/>
      <c r="AA11" s="80"/>
      <c r="AB11" s="79"/>
      <c r="AC11" s="90"/>
      <c r="AD11" s="91"/>
      <c r="AJ11" s="30"/>
      <c r="AK11" s="30"/>
    </row>
    <row r="12" spans="1:37" ht="14.4">
      <c r="A12" s="422" t="s">
        <v>193</v>
      </c>
      <c r="B12" s="418" t="s">
        <v>241</v>
      </c>
      <c r="C12" s="418" t="s">
        <v>241</v>
      </c>
      <c r="D12" s="418" t="s">
        <v>241</v>
      </c>
      <c r="E12" s="418" t="s">
        <v>241</v>
      </c>
      <c r="F12" s="418" t="s">
        <v>241</v>
      </c>
      <c r="G12" s="418" t="s">
        <v>241</v>
      </c>
      <c r="H12" s="418" t="s">
        <v>241</v>
      </c>
      <c r="I12" s="459"/>
      <c r="J12" s="418">
        <v>193.7</v>
      </c>
      <c r="K12" s="418">
        <v>241.79</v>
      </c>
      <c r="L12" s="419">
        <v>3</v>
      </c>
      <c r="M12" s="217"/>
      <c r="N12" s="418">
        <v>387.18</v>
      </c>
      <c r="O12" s="418">
        <v>43.06</v>
      </c>
      <c r="P12" s="400">
        <f t="shared" si="1"/>
        <v>4</v>
      </c>
      <c r="Q12" s="28"/>
      <c r="R12" s="266">
        <f t="shared" si="0"/>
        <v>284.85000000000002</v>
      </c>
      <c r="S12" s="93"/>
      <c r="T12" s="93"/>
      <c r="U12" s="93"/>
      <c r="V12" s="80"/>
      <c r="W12" s="80"/>
      <c r="X12" s="80"/>
      <c r="Y12" s="80"/>
      <c r="Z12" s="80"/>
      <c r="AA12" s="80"/>
      <c r="AB12" s="79"/>
      <c r="AC12" s="90"/>
      <c r="AD12" s="91"/>
      <c r="AJ12" s="30"/>
      <c r="AK12" s="30"/>
    </row>
    <row r="13" spans="1:37" ht="14.4">
      <c r="A13" s="422" t="s">
        <v>194</v>
      </c>
      <c r="B13" s="418" t="s">
        <v>241</v>
      </c>
      <c r="C13" s="418" t="s">
        <v>242</v>
      </c>
      <c r="D13" s="418" t="s">
        <v>242</v>
      </c>
      <c r="E13" s="418" t="s">
        <v>242</v>
      </c>
      <c r="F13" s="418" t="s">
        <v>242</v>
      </c>
      <c r="G13" s="418" t="s">
        <v>242</v>
      </c>
      <c r="H13" s="418" t="s">
        <v>242</v>
      </c>
      <c r="I13" s="459"/>
      <c r="J13" s="418">
        <v>0</v>
      </c>
      <c r="K13" s="418">
        <v>10</v>
      </c>
      <c r="L13" s="419">
        <v>9</v>
      </c>
      <c r="M13" s="217"/>
      <c r="N13" s="418">
        <v>0</v>
      </c>
      <c r="O13" s="418">
        <v>0</v>
      </c>
      <c r="P13" s="400">
        <f>RANK(O13,$O$5:$O$17)</f>
        <v>9</v>
      </c>
      <c r="Q13" s="28"/>
      <c r="R13" s="266">
        <f t="shared" si="0"/>
        <v>10</v>
      </c>
      <c r="S13" s="80"/>
      <c r="T13" s="80"/>
      <c r="U13" s="80"/>
      <c r="V13" s="80"/>
      <c r="W13" s="80"/>
      <c r="X13" s="80"/>
      <c r="Y13" s="80"/>
      <c r="Z13" s="80"/>
      <c r="AA13" s="80"/>
      <c r="AB13" s="79"/>
      <c r="AC13" s="90"/>
      <c r="AD13" s="91"/>
      <c r="AJ13" s="30"/>
      <c r="AK13" s="30"/>
    </row>
    <row r="14" spans="1:37" ht="14.4">
      <c r="A14" s="422" t="s">
        <v>195</v>
      </c>
      <c r="B14" s="446" t="s">
        <v>243</v>
      </c>
      <c r="C14" s="446" t="s">
        <v>243</v>
      </c>
      <c r="D14" s="446" t="s">
        <v>243</v>
      </c>
      <c r="E14" s="446" t="s">
        <v>243</v>
      </c>
      <c r="F14" s="446" t="s">
        <v>243</v>
      </c>
      <c r="G14" s="446" t="s">
        <v>243</v>
      </c>
      <c r="H14" s="418" t="s">
        <v>243</v>
      </c>
      <c r="I14" s="461"/>
      <c r="J14" s="418"/>
      <c r="K14" s="418"/>
      <c r="L14" s="419"/>
      <c r="M14" s="217"/>
      <c r="N14" s="418"/>
      <c r="O14" s="418"/>
      <c r="P14" s="400">
        <v>13</v>
      </c>
      <c r="Q14" s="28"/>
      <c r="R14" s="266">
        <f t="shared" si="0"/>
        <v>0</v>
      </c>
      <c r="S14" s="80"/>
      <c r="T14" s="80"/>
      <c r="U14" s="80"/>
      <c r="V14" s="80"/>
      <c r="W14" s="80"/>
      <c r="X14" s="80"/>
      <c r="Y14" s="80"/>
      <c r="Z14" s="80"/>
      <c r="AA14" s="80"/>
      <c r="AB14" s="79"/>
      <c r="AC14" s="90"/>
      <c r="AD14" s="91"/>
      <c r="AJ14" s="30"/>
      <c r="AK14" s="30"/>
    </row>
    <row r="15" spans="1:37" ht="14.4">
      <c r="A15" s="422" t="s">
        <v>196</v>
      </c>
      <c r="B15" s="418" t="s">
        <v>241</v>
      </c>
      <c r="C15" s="418" t="s">
        <v>241</v>
      </c>
      <c r="D15" s="418" t="s">
        <v>241</v>
      </c>
      <c r="E15" s="418" t="s">
        <v>241</v>
      </c>
      <c r="F15" s="418" t="s">
        <v>241</v>
      </c>
      <c r="G15" s="418" t="s">
        <v>241</v>
      </c>
      <c r="H15" s="418" t="s">
        <v>241</v>
      </c>
      <c r="I15" s="461"/>
      <c r="J15" s="418">
        <v>193.39</v>
      </c>
      <c r="K15" s="418">
        <v>240.68</v>
      </c>
      <c r="L15" s="419">
        <v>4</v>
      </c>
      <c r="M15" s="217"/>
      <c r="N15" s="418">
        <v>394.99</v>
      </c>
      <c r="O15" s="418">
        <v>42.2</v>
      </c>
      <c r="P15" s="400">
        <f>RANK(O15,$O$5:$O$17)</f>
        <v>5</v>
      </c>
      <c r="Q15" s="28"/>
      <c r="R15" s="266">
        <f t="shared" si="0"/>
        <v>282.88</v>
      </c>
      <c r="S15" s="80"/>
      <c r="T15" s="80"/>
      <c r="U15" s="80"/>
      <c r="V15" s="80"/>
      <c r="W15" s="80"/>
      <c r="X15" s="80"/>
      <c r="Y15" s="80"/>
      <c r="Z15" s="80"/>
      <c r="AA15" s="80"/>
      <c r="AB15" s="79"/>
      <c r="AC15" s="90"/>
      <c r="AD15" s="91"/>
      <c r="AJ15" s="30"/>
      <c r="AK15" s="30"/>
    </row>
    <row r="16" spans="1:37" ht="14.4">
      <c r="A16" s="422" t="s">
        <v>197</v>
      </c>
      <c r="B16" s="418" t="s">
        <v>241</v>
      </c>
      <c r="C16" s="418" t="s">
        <v>241</v>
      </c>
      <c r="D16" s="418" t="s">
        <v>241</v>
      </c>
      <c r="E16" s="418" t="s">
        <v>241</v>
      </c>
      <c r="F16" s="418" t="s">
        <v>241</v>
      </c>
      <c r="G16" s="418" t="s">
        <v>241</v>
      </c>
      <c r="H16" s="418" t="s">
        <v>241</v>
      </c>
      <c r="I16" s="461"/>
      <c r="J16" s="418">
        <v>205.77</v>
      </c>
      <c r="K16" s="418">
        <v>284.89</v>
      </c>
      <c r="L16" s="419">
        <v>1</v>
      </c>
      <c r="M16" s="217"/>
      <c r="N16" s="418">
        <v>754.58</v>
      </c>
      <c r="O16" s="418">
        <v>2.5</v>
      </c>
      <c r="P16" s="400">
        <f>RANK(O16,$O$5:$O$17)</f>
        <v>8</v>
      </c>
      <c r="Q16" s="28"/>
      <c r="R16" s="266">
        <f t="shared" si="0"/>
        <v>287.39</v>
      </c>
      <c r="S16" s="80"/>
      <c r="T16" s="80"/>
      <c r="U16" s="80"/>
      <c r="V16" s="80"/>
      <c r="W16" s="80"/>
      <c r="X16" s="80"/>
      <c r="Y16" s="80"/>
      <c r="Z16" s="80"/>
      <c r="AA16" s="80"/>
      <c r="AB16" s="79"/>
      <c r="AC16" s="90"/>
      <c r="AD16" s="91"/>
      <c r="AJ16" s="30"/>
      <c r="AK16" s="30"/>
    </row>
    <row r="17" spans="1:37" s="137" customFormat="1" ht="14.4">
      <c r="A17" s="422" t="s">
        <v>198</v>
      </c>
      <c r="B17" s="418" t="s">
        <v>241</v>
      </c>
      <c r="C17" s="418" t="s">
        <v>242</v>
      </c>
      <c r="D17" s="418" t="s">
        <v>242</v>
      </c>
      <c r="E17" s="418" t="s">
        <v>242</v>
      </c>
      <c r="F17" s="418" t="s">
        <v>242</v>
      </c>
      <c r="G17" s="418" t="s">
        <v>242</v>
      </c>
      <c r="H17" s="418" t="s">
        <v>242</v>
      </c>
      <c r="I17" s="461"/>
      <c r="J17" s="418">
        <v>0</v>
      </c>
      <c r="K17" s="418">
        <v>10</v>
      </c>
      <c r="L17" s="419">
        <v>11</v>
      </c>
      <c r="M17" s="217"/>
      <c r="N17" s="418">
        <v>0</v>
      </c>
      <c r="O17" s="418">
        <v>0</v>
      </c>
      <c r="P17" s="400">
        <v>11</v>
      </c>
      <c r="Q17" s="145"/>
      <c r="R17" s="266">
        <f t="shared" si="0"/>
        <v>10</v>
      </c>
      <c r="S17" s="147"/>
      <c r="T17" s="147"/>
      <c r="U17" s="147"/>
      <c r="V17" s="147"/>
      <c r="W17" s="147"/>
      <c r="X17" s="147"/>
      <c r="Y17" s="147"/>
      <c r="Z17" s="147"/>
      <c r="AA17" s="147"/>
      <c r="AB17" s="131"/>
      <c r="AC17" s="140"/>
      <c r="AD17" s="139"/>
      <c r="AE17" s="136"/>
      <c r="AJ17" s="148"/>
      <c r="AK17" s="148"/>
    </row>
    <row r="18" spans="1:37">
      <c r="A18" s="85"/>
      <c r="B18" s="255"/>
      <c r="C18" s="128"/>
      <c r="D18" s="241"/>
      <c r="E18" s="241"/>
      <c r="F18" s="241"/>
      <c r="G18" s="241"/>
      <c r="H18" s="466"/>
      <c r="I18" s="462"/>
      <c r="J18" s="463"/>
      <c r="K18" s="464"/>
      <c r="L18" s="457"/>
      <c r="M18" s="465"/>
      <c r="N18" s="463"/>
      <c r="O18" s="456"/>
      <c r="P18" s="94"/>
      <c r="Q18" s="82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9"/>
      <c r="AC18" s="107"/>
      <c r="AD18" s="110"/>
      <c r="AE18" s="47"/>
      <c r="AF18" s="31"/>
      <c r="AG18" s="31"/>
      <c r="AH18" s="31"/>
      <c r="AI18" s="31"/>
      <c r="AJ18" s="30"/>
      <c r="AK18" s="30"/>
    </row>
    <row r="19" spans="1:37">
      <c r="A19" s="85"/>
      <c r="B19" s="255"/>
      <c r="C19" s="241"/>
      <c r="D19" s="241"/>
      <c r="E19" s="241"/>
      <c r="F19" s="241"/>
      <c r="G19" s="241"/>
      <c r="H19" s="404"/>
      <c r="I19" s="462"/>
      <c r="J19" s="463"/>
      <c r="K19" s="464"/>
      <c r="L19" s="458"/>
      <c r="M19" s="465"/>
      <c r="N19" s="463"/>
      <c r="O19" s="456"/>
      <c r="P19" s="94"/>
      <c r="Q19" s="92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02"/>
      <c r="AC19" s="108"/>
      <c r="AD19" s="112"/>
      <c r="AE19" s="47"/>
      <c r="AF19" s="31"/>
      <c r="AG19" s="31"/>
      <c r="AH19" s="31"/>
      <c r="AI19" s="31"/>
      <c r="AJ19" s="30"/>
      <c r="AK19" s="30"/>
    </row>
    <row r="20" spans="1:37" ht="14.4">
      <c r="A20" s="85"/>
      <c r="B20" s="255"/>
      <c r="C20" s="241"/>
      <c r="D20" s="172" t="s">
        <v>44</v>
      </c>
      <c r="E20" s="171" t="s">
        <v>44</v>
      </c>
      <c r="F20" s="241"/>
      <c r="G20" s="241"/>
      <c r="H20" s="241"/>
      <c r="I20" s="94"/>
      <c r="J20" s="403"/>
      <c r="K20" s="402"/>
      <c r="L20" s="94"/>
      <c r="M20" s="94"/>
      <c r="N20" s="403"/>
      <c r="O20" s="395"/>
      <c r="P20" s="94"/>
      <c r="Q20" s="92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02"/>
      <c r="AC20" s="108"/>
      <c r="AD20" s="112"/>
      <c r="AE20" s="47"/>
      <c r="AF20" s="31"/>
      <c r="AG20" s="31"/>
      <c r="AH20" s="31"/>
      <c r="AI20" s="31"/>
      <c r="AJ20" s="30"/>
      <c r="AK20" s="30"/>
    </row>
    <row r="21" spans="1:37" ht="14.4">
      <c r="B21" s="255"/>
      <c r="C21" s="253"/>
      <c r="D21" s="170"/>
      <c r="E21" s="170"/>
      <c r="F21" s="253"/>
      <c r="G21" s="327" t="s">
        <v>44</v>
      </c>
      <c r="H21" s="253"/>
      <c r="I21" s="86"/>
      <c r="J21" s="403"/>
      <c r="K21" s="402"/>
      <c r="L21" s="86"/>
      <c r="M21" s="86"/>
      <c r="N21" s="403"/>
      <c r="O21" s="395"/>
      <c r="P21" s="86"/>
      <c r="Q21" s="92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02"/>
      <c r="AC21" s="113"/>
      <c r="AD21" s="112"/>
    </row>
    <row r="22" spans="1:37">
      <c r="B22" s="300" t="s">
        <v>106</v>
      </c>
      <c r="H22" s="373"/>
      <c r="I22" s="399"/>
      <c r="J22" s="373"/>
      <c r="K22" s="373"/>
      <c r="L22" s="94"/>
      <c r="M22" s="94"/>
      <c r="N22" s="403"/>
      <c r="O22" s="395"/>
      <c r="P22" s="94"/>
      <c r="Q22" s="92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02"/>
      <c r="AC22" s="113"/>
      <c r="AD22" s="112"/>
    </row>
    <row r="23" spans="1:37">
      <c r="B23" s="300" t="s">
        <v>107</v>
      </c>
      <c r="G23" s="373"/>
      <c r="H23" s="373"/>
      <c r="I23" s="399"/>
      <c r="J23" s="373"/>
      <c r="K23" s="248"/>
      <c r="L23" s="94"/>
      <c r="M23" s="94"/>
      <c r="N23" s="94"/>
      <c r="O23" s="94"/>
      <c r="P23" s="94"/>
      <c r="Q23" s="92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102"/>
      <c r="AC23" s="113"/>
      <c r="AD23" s="112"/>
    </row>
    <row r="24" spans="1:37">
      <c r="B24" s="300" t="s">
        <v>108</v>
      </c>
      <c r="I24" s="300"/>
      <c r="J24" s="399"/>
      <c r="K24" s="405"/>
      <c r="L24" s="86"/>
      <c r="M24" s="86"/>
      <c r="N24" s="94"/>
      <c r="O24" s="86"/>
      <c r="P24" s="86"/>
      <c r="Q24" s="92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02"/>
      <c r="AC24" s="113"/>
      <c r="AD24" s="112"/>
    </row>
    <row r="25" spans="1:37">
      <c r="A25" s="85"/>
      <c r="B25" s="241"/>
      <c r="C25" s="241" t="s">
        <v>77</v>
      </c>
      <c r="D25" s="241"/>
      <c r="E25" s="241"/>
      <c r="F25" s="241"/>
      <c r="G25" s="241"/>
      <c r="H25" s="241"/>
      <c r="I25" s="94"/>
      <c r="J25" s="94"/>
      <c r="K25" s="94"/>
      <c r="L25" s="94"/>
      <c r="M25" s="94"/>
      <c r="N25" s="94"/>
      <c r="O25" s="94"/>
      <c r="P25" s="101"/>
      <c r="Q25" s="92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02"/>
      <c r="AC25" s="113"/>
      <c r="AD25" s="112"/>
    </row>
    <row r="26" spans="1:37">
      <c r="A26" s="85"/>
      <c r="B26" s="253"/>
      <c r="C26" s="253"/>
      <c r="D26" s="253"/>
      <c r="E26" s="253"/>
      <c r="F26" s="253"/>
      <c r="G26" s="253"/>
      <c r="H26" s="253"/>
      <c r="I26" s="86"/>
      <c r="J26" s="94"/>
      <c r="K26" s="86"/>
      <c r="L26" s="86"/>
      <c r="M26" s="86"/>
      <c r="N26" s="86"/>
      <c r="O26" s="86"/>
      <c r="P26" s="101"/>
      <c r="Q26" s="92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102"/>
      <c r="AC26" s="113"/>
      <c r="AD26" s="112"/>
    </row>
    <row r="27" spans="1:37">
      <c r="A27" s="85"/>
      <c r="B27" s="253"/>
      <c r="C27" s="253"/>
      <c r="D27" s="253"/>
      <c r="E27" s="253"/>
      <c r="F27" s="253"/>
      <c r="G27" s="253"/>
      <c r="H27" s="253"/>
      <c r="I27" s="86"/>
      <c r="J27" s="94"/>
      <c r="K27" s="86"/>
      <c r="L27" s="86"/>
      <c r="M27" s="86"/>
      <c r="N27" s="86"/>
      <c r="O27" s="86"/>
      <c r="P27" s="101"/>
      <c r="Q27" s="92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102"/>
      <c r="AC27" s="113"/>
      <c r="AD27" s="112"/>
    </row>
    <row r="28" spans="1:37" ht="15">
      <c r="A28" s="360"/>
      <c r="B28" s="299"/>
      <c r="C28" s="299"/>
      <c r="D28" s="299"/>
      <c r="E28" s="361" t="s">
        <v>244</v>
      </c>
      <c r="F28" s="299"/>
      <c r="G28" s="299"/>
      <c r="H28" s="299"/>
      <c r="I28" s="94"/>
      <c r="J28" s="94"/>
      <c r="K28" s="94"/>
      <c r="L28" s="94"/>
      <c r="M28" s="94"/>
      <c r="N28" s="94"/>
      <c r="O28" s="94"/>
      <c r="P28" s="101"/>
      <c r="Q28" s="92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02"/>
      <c r="AC28" s="113"/>
      <c r="AD28" s="112"/>
    </row>
    <row r="29" spans="1:37">
      <c r="A29" s="85"/>
      <c r="B29" s="241"/>
      <c r="C29" s="241"/>
      <c r="D29" s="241"/>
      <c r="E29" s="241"/>
      <c r="F29" s="241"/>
      <c r="G29" s="241"/>
      <c r="H29" s="241"/>
      <c r="I29" s="94"/>
      <c r="J29" s="94"/>
      <c r="K29" s="94"/>
      <c r="L29" s="94"/>
      <c r="M29" s="94"/>
      <c r="N29" s="94"/>
      <c r="O29" s="94"/>
      <c r="P29" s="101"/>
      <c r="Q29" s="92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02"/>
      <c r="AC29" s="113"/>
      <c r="AD29" s="112"/>
    </row>
    <row r="30" spans="1:37">
      <c r="A30" s="85"/>
      <c r="B30" t="s">
        <v>245</v>
      </c>
      <c r="C30" t="s">
        <v>246</v>
      </c>
      <c r="D30">
        <v>178.93</v>
      </c>
      <c r="E30" s="253"/>
      <c r="F30" s="253"/>
      <c r="G30" s="253"/>
      <c r="H30" s="253"/>
      <c r="I30" s="86"/>
      <c r="J30" s="94"/>
      <c r="K30" s="86"/>
      <c r="L30" s="86"/>
      <c r="M30" s="86"/>
      <c r="N30" s="86"/>
      <c r="O30" s="86"/>
      <c r="P30" s="101"/>
      <c r="Q30" s="92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102"/>
      <c r="AC30" s="113"/>
      <c r="AD30" s="112"/>
    </row>
    <row r="31" spans="1:37">
      <c r="A31" s="85"/>
      <c r="B31" t="s">
        <v>247</v>
      </c>
      <c r="C31" t="s">
        <v>246</v>
      </c>
      <c r="D31">
        <v>205.77</v>
      </c>
      <c r="E31" s="241"/>
      <c r="F31" s="241"/>
      <c r="G31" s="241"/>
      <c r="H31" s="241"/>
      <c r="I31" s="94"/>
      <c r="J31" s="94"/>
      <c r="K31" s="94"/>
      <c r="L31" s="94"/>
      <c r="M31" s="94"/>
      <c r="N31" s="94"/>
      <c r="O31" s="94"/>
      <c r="P31" s="101"/>
      <c r="Q31" s="92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02"/>
      <c r="AC31" s="113"/>
      <c r="AD31" s="112"/>
    </row>
    <row r="32" spans="1:37">
      <c r="A32" s="85"/>
      <c r="B32"/>
      <c r="C32"/>
      <c r="D32"/>
      <c r="E32" s="241"/>
      <c r="F32" s="328"/>
      <c r="G32" s="241"/>
      <c r="H32" s="241"/>
      <c r="I32" s="94"/>
      <c r="J32" s="94"/>
      <c r="K32" s="94"/>
      <c r="L32" s="94"/>
      <c r="M32" s="94"/>
      <c r="N32" s="94"/>
      <c r="O32" s="94"/>
      <c r="P32" s="102"/>
      <c r="Q32" s="92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02"/>
      <c r="AC32" s="113"/>
      <c r="AD32" s="84"/>
    </row>
    <row r="33" spans="1:30">
      <c r="A33" s="85"/>
      <c r="B33" t="s">
        <v>248</v>
      </c>
      <c r="C33" t="s">
        <v>249</v>
      </c>
      <c r="D33">
        <v>324.33</v>
      </c>
      <c r="E33" s="167"/>
      <c r="F33" s="167"/>
      <c r="G33" s="71"/>
      <c r="H33" s="71"/>
      <c r="I33" s="86"/>
      <c r="J33" s="94"/>
      <c r="K33" s="86"/>
      <c r="L33" s="86"/>
      <c r="M33" s="86"/>
      <c r="N33" s="86"/>
      <c r="O33" s="86"/>
      <c r="P33" s="101"/>
      <c r="Q33" s="92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102"/>
      <c r="AC33" s="113"/>
      <c r="AD33" s="112"/>
    </row>
    <row r="34" spans="1:30">
      <c r="A34" s="85"/>
      <c r="B34" t="s">
        <v>250</v>
      </c>
      <c r="C34" t="s">
        <v>249</v>
      </c>
      <c r="D34">
        <v>754.58</v>
      </c>
      <c r="E34" s="71"/>
      <c r="F34" s="164"/>
      <c r="G34" s="71"/>
      <c r="H34" s="165"/>
      <c r="I34" s="163"/>
      <c r="J34" s="163"/>
      <c r="K34" s="163"/>
      <c r="L34" s="94"/>
      <c r="M34" s="94"/>
      <c r="N34" s="94"/>
      <c r="O34" s="94"/>
      <c r="P34" s="101"/>
      <c r="Q34" s="92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02"/>
      <c r="AC34" s="113"/>
      <c r="AD34" s="112"/>
    </row>
    <row r="35" spans="1:30">
      <c r="A35" s="79"/>
      <c r="B35" s="241"/>
      <c r="C35" s="253"/>
      <c r="D35" s="71"/>
      <c r="E35" s="71"/>
      <c r="F35" s="167"/>
      <c r="G35" s="71"/>
      <c r="H35" s="71"/>
      <c r="I35" s="86"/>
      <c r="J35" s="94"/>
      <c r="K35" s="86"/>
      <c r="L35" s="86"/>
      <c r="M35" s="86"/>
      <c r="N35" s="86"/>
      <c r="O35" s="86"/>
      <c r="P35" s="101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102"/>
      <c r="AC35" s="113"/>
      <c r="AD35" s="112"/>
    </row>
    <row r="36" spans="1:30">
      <c r="A36" s="79"/>
      <c r="B36" s="253"/>
      <c r="C36" s="253"/>
      <c r="D36" s="253"/>
      <c r="E36" s="253"/>
      <c r="F36" s="253"/>
      <c r="G36" s="253"/>
      <c r="H36" s="253"/>
      <c r="I36" s="86"/>
      <c r="J36" s="94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113"/>
      <c r="AD36" s="84"/>
    </row>
    <row r="37" spans="1:30">
      <c r="A37" s="79"/>
      <c r="B37" s="253"/>
      <c r="C37" s="253"/>
      <c r="D37" s="253"/>
      <c r="E37" s="253"/>
      <c r="F37" s="253"/>
      <c r="G37" s="253"/>
      <c r="H37" s="253"/>
      <c r="I37" s="86"/>
      <c r="J37" s="94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113"/>
      <c r="AD37" s="84"/>
    </row>
    <row r="38" spans="1:30">
      <c r="A38" s="104"/>
      <c r="B38" s="54"/>
      <c r="C38" s="54"/>
      <c r="D38" s="54"/>
      <c r="E38" s="54"/>
      <c r="F38" s="54"/>
      <c r="G38" s="54"/>
      <c r="H38" s="54"/>
      <c r="I38" s="88"/>
      <c r="J38" s="101"/>
      <c r="K38" s="88"/>
      <c r="L38" s="88"/>
      <c r="M38" s="88"/>
      <c r="N38" s="88"/>
      <c r="O38" s="88"/>
      <c r="P38" s="88"/>
      <c r="Q38" s="86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113"/>
      <c r="AD38" s="84"/>
    </row>
    <row r="39" spans="1:30">
      <c r="A39" s="85"/>
      <c r="B39" s="253"/>
      <c r="C39" s="253"/>
      <c r="D39" s="253"/>
      <c r="E39" s="253"/>
      <c r="F39" s="253"/>
      <c r="G39" s="253"/>
      <c r="H39" s="253"/>
      <c r="I39" s="86"/>
      <c r="J39" s="94"/>
      <c r="K39" s="86"/>
      <c r="L39" s="86"/>
      <c r="M39" s="86"/>
      <c r="N39" s="86"/>
      <c r="O39" s="86"/>
      <c r="P39" s="101"/>
      <c r="Q39" s="92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102"/>
      <c r="AC39" s="113"/>
      <c r="AD39" s="112"/>
    </row>
    <row r="40" spans="1:30">
      <c r="A40" s="85"/>
      <c r="B40" s="253"/>
      <c r="C40" s="253"/>
      <c r="D40" s="253"/>
      <c r="E40" s="253"/>
      <c r="F40" s="253"/>
      <c r="G40" s="253"/>
      <c r="H40" s="253"/>
      <c r="I40" s="86"/>
      <c r="J40" s="94"/>
      <c r="K40" s="86"/>
      <c r="L40" s="86"/>
      <c r="M40" s="86"/>
      <c r="N40" s="86"/>
      <c r="O40" s="86"/>
      <c r="P40" s="101"/>
      <c r="Q40" s="92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102"/>
      <c r="AC40" s="113"/>
      <c r="AD40" s="112"/>
    </row>
    <row r="41" spans="1:30">
      <c r="A41" s="85"/>
      <c r="B41" s="253"/>
      <c r="C41" s="253"/>
      <c r="D41" s="253"/>
      <c r="E41" s="253"/>
      <c r="F41" s="253"/>
      <c r="G41" s="253"/>
      <c r="H41" s="253"/>
      <c r="I41" s="86"/>
      <c r="J41" s="94"/>
      <c r="K41" s="86"/>
      <c r="L41" s="86"/>
      <c r="M41" s="86"/>
      <c r="N41" s="86"/>
      <c r="O41" s="86"/>
      <c r="P41" s="101"/>
      <c r="Q41" s="92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102"/>
      <c r="AC41" s="113"/>
      <c r="AD41" s="112"/>
    </row>
    <row r="42" spans="1:30">
      <c r="A42" s="85"/>
      <c r="B42" s="253"/>
      <c r="C42" s="253"/>
      <c r="D42" s="253"/>
      <c r="E42" s="253"/>
      <c r="F42" s="253"/>
      <c r="G42" s="253"/>
      <c r="H42" s="253"/>
      <c r="I42" s="86"/>
      <c r="J42" s="94"/>
      <c r="K42" s="86"/>
      <c r="L42" s="86"/>
      <c r="M42" s="86"/>
      <c r="N42" s="86"/>
      <c r="O42" s="86"/>
      <c r="P42" s="101"/>
      <c r="Q42" s="92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102"/>
      <c r="AC42" s="113"/>
      <c r="AD42" s="112"/>
    </row>
    <row r="43" spans="1:30">
      <c r="A43" s="85"/>
      <c r="B43" s="253"/>
      <c r="C43" s="253"/>
      <c r="D43" s="253"/>
      <c r="E43" s="253"/>
      <c r="F43" s="253"/>
      <c r="G43" s="253"/>
      <c r="H43" s="253"/>
      <c r="I43" s="86"/>
      <c r="J43" s="94"/>
      <c r="K43" s="86"/>
      <c r="L43" s="86"/>
      <c r="M43" s="86"/>
      <c r="N43" s="86"/>
      <c r="O43" s="86"/>
      <c r="P43" s="101"/>
      <c r="Q43" s="92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102"/>
      <c r="AC43" s="113"/>
      <c r="AD43" s="112"/>
    </row>
    <row r="44" spans="1:30">
      <c r="A44" s="85"/>
      <c r="B44" s="253"/>
      <c r="C44" s="253"/>
      <c r="D44" s="253"/>
      <c r="E44" s="253"/>
      <c r="F44" s="253"/>
      <c r="G44" s="253"/>
      <c r="H44" s="253"/>
      <c r="I44" s="86"/>
      <c r="J44" s="94"/>
      <c r="K44" s="86"/>
      <c r="L44" s="86"/>
      <c r="M44" s="86"/>
      <c r="N44" s="86"/>
      <c r="O44" s="86"/>
      <c r="P44" s="101"/>
      <c r="Q44" s="92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102"/>
      <c r="AC44" s="113"/>
      <c r="AD44" s="112"/>
    </row>
    <row r="45" spans="1:30">
      <c r="A45" s="85"/>
      <c r="B45" s="253"/>
      <c r="C45" s="253"/>
      <c r="D45" s="253"/>
      <c r="E45" s="253"/>
      <c r="F45" s="253"/>
      <c r="G45" s="253"/>
      <c r="H45" s="253"/>
      <c r="I45" s="86"/>
      <c r="J45" s="94"/>
      <c r="K45" s="86"/>
      <c r="L45" s="86"/>
      <c r="M45" s="86"/>
      <c r="N45" s="86"/>
      <c r="O45" s="86"/>
      <c r="P45" s="101"/>
      <c r="Q45" s="92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102"/>
      <c r="AC45" s="113"/>
      <c r="AD45" s="112"/>
    </row>
    <row r="46" spans="1:30">
      <c r="A46" s="85"/>
      <c r="B46" s="253"/>
      <c r="C46" s="253"/>
      <c r="D46" s="253"/>
      <c r="E46" s="253"/>
      <c r="F46" s="253"/>
      <c r="G46" s="253"/>
      <c r="H46" s="253"/>
      <c r="I46" s="86"/>
      <c r="J46" s="94"/>
      <c r="K46" s="86"/>
      <c r="L46" s="86"/>
      <c r="M46" s="86"/>
      <c r="N46" s="86"/>
      <c r="O46" s="86"/>
      <c r="P46" s="101"/>
      <c r="Q46" s="92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102"/>
      <c r="AC46" s="113"/>
      <c r="AD46" s="112"/>
    </row>
    <row r="47" spans="1:30">
      <c r="A47" s="85"/>
      <c r="B47" s="253"/>
      <c r="C47" s="253"/>
      <c r="D47" s="253"/>
      <c r="E47" s="253"/>
      <c r="F47" s="253"/>
      <c r="G47" s="253"/>
      <c r="H47" s="253"/>
      <c r="I47" s="86"/>
      <c r="J47" s="94"/>
      <c r="K47" s="86"/>
      <c r="L47" s="86"/>
      <c r="M47" s="86"/>
      <c r="N47" s="86"/>
      <c r="O47" s="86"/>
      <c r="P47" s="101"/>
      <c r="Q47" s="92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102"/>
      <c r="AC47" s="113"/>
      <c r="AD47" s="112"/>
    </row>
    <row r="48" spans="1:30">
      <c r="A48" s="85"/>
      <c r="B48" s="253"/>
      <c r="C48" s="253"/>
      <c r="D48" s="253"/>
      <c r="E48" s="253"/>
      <c r="F48" s="253"/>
      <c r="G48" s="253"/>
      <c r="H48" s="253"/>
      <c r="I48" s="86"/>
      <c r="J48" s="94"/>
      <c r="K48" s="86"/>
      <c r="L48" s="86"/>
      <c r="M48" s="86"/>
      <c r="N48" s="86"/>
      <c r="O48" s="86"/>
      <c r="P48" s="101"/>
      <c r="Q48" s="92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102"/>
      <c r="AC48" s="113"/>
      <c r="AD48" s="112"/>
    </row>
    <row r="49" spans="1:30">
      <c r="A49" s="85"/>
      <c r="B49" s="253"/>
      <c r="C49" s="253"/>
      <c r="D49" s="253"/>
      <c r="E49" s="253"/>
      <c r="F49" s="253"/>
      <c r="G49" s="253"/>
      <c r="H49" s="253"/>
      <c r="I49" s="86"/>
      <c r="J49" s="94"/>
      <c r="K49" s="86"/>
      <c r="L49" s="86"/>
      <c r="M49" s="86"/>
      <c r="N49" s="86"/>
      <c r="O49" s="86"/>
      <c r="P49" s="101"/>
      <c r="Q49" s="92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102"/>
      <c r="AC49" s="113"/>
      <c r="AD49" s="112"/>
    </row>
    <row r="50" spans="1:30">
      <c r="A50" s="85"/>
      <c r="B50" s="253"/>
      <c r="C50" s="253"/>
      <c r="D50" s="253"/>
      <c r="E50" s="253"/>
      <c r="F50" s="253"/>
      <c r="G50" s="253"/>
      <c r="H50" s="253"/>
      <c r="I50" s="86"/>
      <c r="J50" s="94"/>
      <c r="K50" s="86"/>
      <c r="L50" s="86"/>
      <c r="M50" s="86"/>
      <c r="N50" s="86"/>
      <c r="O50" s="86"/>
      <c r="P50" s="101"/>
      <c r="Q50" s="92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102"/>
      <c r="AC50" s="113"/>
      <c r="AD50" s="112"/>
    </row>
    <row r="51" spans="1:30">
      <c r="A51" s="85"/>
      <c r="B51" s="253"/>
      <c r="C51" s="253"/>
      <c r="D51" s="253"/>
      <c r="E51" s="253"/>
      <c r="F51" s="253"/>
      <c r="G51" s="253"/>
      <c r="H51" s="253"/>
      <c r="I51" s="86"/>
      <c r="J51" s="94"/>
      <c r="K51" s="86"/>
      <c r="L51" s="86"/>
      <c r="M51" s="86"/>
      <c r="N51" s="86"/>
      <c r="O51" s="86"/>
      <c r="P51" s="101"/>
      <c r="Q51" s="92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102"/>
      <c r="AC51" s="113"/>
      <c r="AD51" s="112"/>
    </row>
    <row r="52" spans="1:30">
      <c r="A52" s="85"/>
      <c r="B52" s="241"/>
      <c r="C52" s="241"/>
      <c r="D52" s="241"/>
      <c r="E52" s="241"/>
      <c r="F52" s="241"/>
      <c r="G52" s="241"/>
      <c r="H52" s="241"/>
      <c r="I52" s="94"/>
      <c r="J52" s="94"/>
      <c r="K52" s="94"/>
      <c r="L52" s="94"/>
      <c r="M52" s="94"/>
      <c r="N52" s="94"/>
      <c r="O52" s="94"/>
      <c r="P52" s="102"/>
      <c r="Q52" s="92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102"/>
      <c r="AC52" s="113"/>
      <c r="AD52" s="84"/>
    </row>
    <row r="53" spans="1:30">
      <c r="A53" s="85"/>
      <c r="B53" s="253"/>
      <c r="C53" s="253"/>
      <c r="D53" s="253"/>
      <c r="E53" s="253"/>
      <c r="F53" s="253"/>
      <c r="G53" s="253"/>
      <c r="H53" s="253"/>
      <c r="I53" s="86"/>
      <c r="J53" s="94"/>
      <c r="K53" s="86"/>
      <c r="L53" s="86"/>
      <c r="M53" s="86"/>
      <c r="N53" s="86"/>
      <c r="O53" s="86"/>
      <c r="P53" s="101"/>
      <c r="Q53" s="92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102"/>
      <c r="AC53" s="113"/>
      <c r="AD53" s="112"/>
    </row>
    <row r="54" spans="1:30">
      <c r="A54" s="85"/>
      <c r="B54" s="253"/>
      <c r="C54" s="253"/>
      <c r="D54" s="253"/>
      <c r="E54" s="253"/>
      <c r="F54" s="253"/>
      <c r="G54" s="253"/>
      <c r="H54" s="253"/>
      <c r="I54" s="86"/>
      <c r="J54" s="94"/>
      <c r="K54" s="86"/>
      <c r="L54" s="86"/>
      <c r="M54" s="86"/>
      <c r="N54" s="86"/>
      <c r="O54" s="86"/>
      <c r="P54" s="101"/>
      <c r="Q54" s="92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102"/>
      <c r="AC54" s="113"/>
      <c r="AD54" s="112"/>
    </row>
    <row r="55" spans="1:30">
      <c r="A55" s="90"/>
      <c r="B55" s="329"/>
      <c r="C55" s="329"/>
      <c r="D55" s="329"/>
      <c r="E55" s="329"/>
      <c r="F55" s="329"/>
      <c r="G55" s="329"/>
      <c r="H55" s="329"/>
      <c r="I55" s="113"/>
      <c r="J55" s="336"/>
      <c r="K55" s="113"/>
      <c r="L55" s="113"/>
      <c r="M55" s="113"/>
      <c r="N55" s="113"/>
      <c r="O55" s="113"/>
      <c r="P55" s="105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06"/>
      <c r="AC55" s="113"/>
      <c r="AD55" s="84"/>
    </row>
    <row r="56" spans="1:30">
      <c r="A56" s="90"/>
      <c r="B56" s="329"/>
      <c r="C56" s="329"/>
      <c r="D56" s="329"/>
      <c r="E56" s="329"/>
      <c r="F56" s="329"/>
      <c r="G56" s="329"/>
      <c r="H56" s="329"/>
      <c r="I56" s="113"/>
      <c r="J56" s="336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84"/>
    </row>
    <row r="57" spans="1:30">
      <c r="A57" s="90"/>
      <c r="B57" s="330"/>
      <c r="C57" s="330"/>
      <c r="D57" s="330"/>
      <c r="E57" s="330"/>
      <c r="F57" s="330"/>
      <c r="G57" s="330"/>
      <c r="H57" s="330"/>
      <c r="I57" s="84"/>
      <c r="J57" s="337"/>
      <c r="K57" s="84"/>
      <c r="L57" s="84"/>
      <c r="M57" s="84"/>
      <c r="N57" s="84"/>
      <c r="O57" s="84"/>
      <c r="P57" s="113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</row>
    <row r="58" spans="1:30">
      <c r="A58" s="90"/>
      <c r="B58" s="301"/>
      <c r="C58" s="301"/>
      <c r="D58" s="301"/>
      <c r="E58" s="301"/>
      <c r="F58" s="301"/>
      <c r="G58" s="301"/>
      <c r="H58" s="301"/>
      <c r="I58" s="91"/>
      <c r="J58" s="338"/>
      <c r="K58" s="91"/>
      <c r="L58" s="91"/>
      <c r="M58" s="91"/>
      <c r="N58" s="91"/>
      <c r="O58" s="91"/>
      <c r="P58" s="103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</row>
    <row r="59" spans="1:30">
      <c r="A59" s="90"/>
      <c r="B59" s="301"/>
      <c r="C59" s="301"/>
      <c r="D59" s="301"/>
      <c r="E59" s="301"/>
      <c r="F59" s="301"/>
      <c r="G59" s="301"/>
      <c r="H59" s="301"/>
      <c r="I59" s="91"/>
      <c r="J59" s="338"/>
      <c r="K59" s="91"/>
      <c r="L59" s="91"/>
      <c r="M59" s="91"/>
      <c r="N59" s="91"/>
      <c r="O59" s="91"/>
      <c r="P59" s="103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</row>
    <row r="60" spans="1:30">
      <c r="A60" s="90"/>
      <c r="B60" s="301"/>
      <c r="C60" s="301"/>
      <c r="D60" s="301"/>
      <c r="E60" s="301"/>
      <c r="F60" s="301"/>
      <c r="G60" s="301"/>
      <c r="H60" s="301"/>
      <c r="I60" s="91"/>
      <c r="J60" s="338"/>
      <c r="K60" s="91"/>
      <c r="L60" s="91"/>
      <c r="M60" s="91"/>
      <c r="N60" s="91"/>
      <c r="O60" s="91"/>
      <c r="P60" s="103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</row>
    <row r="61" spans="1:30">
      <c r="A61" s="90"/>
      <c r="B61" s="301"/>
      <c r="C61" s="301"/>
      <c r="D61" s="301"/>
      <c r="E61" s="301"/>
      <c r="F61" s="301"/>
      <c r="G61" s="301"/>
      <c r="H61" s="301"/>
      <c r="I61" s="91"/>
      <c r="J61" s="338"/>
      <c r="K61" s="91"/>
      <c r="L61" s="91"/>
      <c r="M61" s="91"/>
      <c r="N61" s="91"/>
      <c r="O61" s="91"/>
      <c r="P61" s="103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</row>
    <row r="62" spans="1:30">
      <c r="A62" s="90"/>
      <c r="I62" s="90"/>
      <c r="J62" s="339"/>
      <c r="K62" s="90"/>
      <c r="L62" s="90"/>
      <c r="M62" s="90"/>
      <c r="N62" s="91"/>
      <c r="O62" s="91"/>
      <c r="P62" s="103"/>
      <c r="Q62" s="91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0"/>
      <c r="AC62" s="90"/>
      <c r="AD62" s="91"/>
    </row>
    <row r="63" spans="1:30">
      <c r="A63" s="90"/>
      <c r="I63" s="90"/>
      <c r="J63" s="339"/>
      <c r="K63" s="90"/>
      <c r="L63" s="90"/>
      <c r="M63" s="90"/>
      <c r="N63" s="91"/>
      <c r="O63" s="91"/>
      <c r="P63" s="103"/>
      <c r="Q63" s="91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0"/>
      <c r="AC63" s="90"/>
      <c r="AD63" s="91"/>
    </row>
    <row r="64" spans="1:30">
      <c r="P64" s="41"/>
    </row>
    <row r="65" spans="16:16">
      <c r="P65" s="41"/>
    </row>
    <row r="66" spans="16:16">
      <c r="P66" s="41"/>
    </row>
    <row r="67" spans="16:16">
      <c r="P67" s="41"/>
    </row>
    <row r="68" spans="16:16">
      <c r="P68" s="41"/>
    </row>
    <row r="69" spans="16:16">
      <c r="P69" s="41"/>
    </row>
    <row r="70" spans="16:16">
      <c r="P70" s="41"/>
    </row>
    <row r="71" spans="16:16">
      <c r="P71" s="41"/>
    </row>
    <row r="72" spans="16:16">
      <c r="P72" s="41"/>
    </row>
    <row r="73" spans="16:16">
      <c r="P73" s="41"/>
    </row>
    <row r="74" spans="16:16">
      <c r="P74" s="41"/>
    </row>
    <row r="75" spans="16:16">
      <c r="P75" s="41"/>
    </row>
    <row r="76" spans="16:16">
      <c r="P76" s="41"/>
    </row>
    <row r="77" spans="16:16">
      <c r="P77" s="41"/>
    </row>
    <row r="78" spans="16:16">
      <c r="P78" s="41"/>
    </row>
    <row r="79" spans="16:16">
      <c r="P79" s="41"/>
    </row>
    <row r="80" spans="16:16">
      <c r="P80" s="41"/>
    </row>
    <row r="81" spans="16:16">
      <c r="P81" s="41"/>
    </row>
    <row r="82" spans="16:16">
      <c r="P82" s="41"/>
    </row>
    <row r="83" spans="16:16">
      <c r="P83" s="41"/>
    </row>
    <row r="84" spans="16:16">
      <c r="P84" s="41"/>
    </row>
    <row r="85" spans="16:16">
      <c r="P85" s="41"/>
    </row>
    <row r="86" spans="16:16">
      <c r="P86" s="41"/>
    </row>
    <row r="87" spans="16:16">
      <c r="P87" s="41"/>
    </row>
    <row r="88" spans="16:16">
      <c r="P88" s="41"/>
    </row>
    <row r="89" spans="16:16">
      <c r="P89" s="41"/>
    </row>
    <row r="90" spans="16:16">
      <c r="P90" s="41"/>
    </row>
    <row r="91" spans="16:16">
      <c r="P91" s="41"/>
    </row>
    <row r="92" spans="16:16">
      <c r="P92" s="41"/>
    </row>
    <row r="93" spans="16:16">
      <c r="P93" s="41"/>
    </row>
    <row r="94" spans="16:16">
      <c r="P94" s="41"/>
    </row>
    <row r="95" spans="16:16">
      <c r="P95" s="41"/>
    </row>
    <row r="96" spans="16:16">
      <c r="P96" s="41"/>
    </row>
    <row r="97" spans="16:16">
      <c r="P97" s="41"/>
    </row>
  </sheetData>
  <phoneticPr fontId="24" type="noConversion"/>
  <conditionalFormatting sqref="I7">
    <cfRule type="cellIs" dxfId="1" priority="9" stopIfTrue="1" operator="equal">
      <formula>"PASS"</formula>
    </cfRule>
    <cfRule type="cellIs" dxfId="0" priority="10" stopIfTrue="1" operator="equal">
      <formula>"FAIL"</formula>
    </cfRule>
  </conditionalFormatting>
  <printOptions gridLines="1"/>
  <pageMargins left="0.25" right="0.25" top="1" bottom="1" header="0.5" footer="0.5"/>
  <pageSetup scale="66" orientation="landscape" horizontalDpi="4294967294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I97"/>
  <sheetViews>
    <sheetView zoomScale="125" zoomScaleNormal="125" zoomScalePageLayoutView="125" workbookViewId="0"/>
  </sheetViews>
  <sheetFormatPr defaultColWidth="8.88671875" defaultRowHeight="13.2"/>
  <cols>
    <col min="1" max="1" width="40.88671875" customWidth="1"/>
    <col min="2" max="2" width="12.6640625" customWidth="1"/>
    <col min="3" max="3" width="12.44140625" customWidth="1"/>
    <col min="4" max="4" width="8.44140625" customWidth="1"/>
    <col min="5" max="5" width="13.44140625" customWidth="1"/>
    <col min="6" max="6" width="15.44140625" customWidth="1"/>
    <col min="7" max="8" width="9.33203125" customWidth="1"/>
    <col min="9" max="9" width="9.109375" customWidth="1"/>
    <col min="11" max="11" width="10" style="276" customWidth="1"/>
    <col min="12" max="12" width="27" style="3" customWidth="1"/>
    <col min="13" max="13" width="10.6640625" style="3" customWidth="1"/>
    <col min="14" max="14" width="8.6640625" style="3" customWidth="1"/>
    <col min="15" max="15" width="3" style="3" customWidth="1"/>
    <col min="16" max="22" width="8.6640625" style="40" customWidth="1"/>
    <col min="23" max="23" width="10" style="40" customWidth="1"/>
    <col min="24" max="25" width="8.6640625" style="40" customWidth="1"/>
    <col min="26" max="26" width="8.6640625" customWidth="1"/>
    <col min="27" max="27" width="2.109375" customWidth="1"/>
    <col min="28" max="28" width="16.33203125" style="3" customWidth="1"/>
    <col min="29" max="29" width="12.6640625" style="3" customWidth="1"/>
    <col min="30" max="33" width="8.6640625" customWidth="1"/>
  </cols>
  <sheetData>
    <row r="1" spans="1:35" ht="34.799999999999997">
      <c r="A1" s="512" t="s">
        <v>182</v>
      </c>
      <c r="B1" s="21"/>
      <c r="C1" s="21"/>
      <c r="D1" s="21"/>
      <c r="E1" s="21" t="s">
        <v>109</v>
      </c>
      <c r="F1" s="193">
        <f>MIN(B6:B18)</f>
        <v>4.03</v>
      </c>
      <c r="G1" s="21"/>
      <c r="H1" s="21" t="s">
        <v>111</v>
      </c>
      <c r="I1" s="21"/>
      <c r="J1" s="283">
        <f>MIN(H6:H18)</f>
        <v>11.696428571428571</v>
      </c>
      <c r="K1" s="267"/>
      <c r="L1" s="28"/>
      <c r="M1" s="28"/>
      <c r="N1" s="28"/>
      <c r="O1" s="28"/>
      <c r="P1" s="115"/>
      <c r="Q1" s="80"/>
      <c r="R1" s="81"/>
      <c r="S1" s="81"/>
      <c r="T1" s="81"/>
      <c r="U1" s="81"/>
      <c r="V1" s="81"/>
      <c r="W1" s="81"/>
      <c r="X1" s="81"/>
      <c r="Y1" s="81"/>
      <c r="Z1" s="82"/>
      <c r="AA1" s="83"/>
      <c r="AB1" s="84"/>
      <c r="AC1" s="59"/>
      <c r="AD1" s="1"/>
      <c r="AE1" s="1"/>
      <c r="AF1" s="1"/>
    </row>
    <row r="2" spans="1:35">
      <c r="A2" s="75"/>
      <c r="B2" s="24"/>
      <c r="C2" s="24"/>
      <c r="D2" s="24"/>
      <c r="E2" s="24" t="s">
        <v>110</v>
      </c>
      <c r="F2" s="193">
        <f>MAX(B6:B18)</f>
        <v>185.05</v>
      </c>
      <c r="G2" s="24"/>
      <c r="H2" s="24" t="s">
        <v>112</v>
      </c>
      <c r="I2" s="24"/>
      <c r="J2" s="511">
        <f>MAX(H6:H18)</f>
        <v>20.952380952380953</v>
      </c>
      <c r="K2" s="268"/>
      <c r="L2" s="116"/>
      <c r="M2" s="51"/>
      <c r="N2" s="51"/>
      <c r="O2" s="51"/>
      <c r="P2" s="117"/>
      <c r="Q2" s="87"/>
      <c r="R2" s="87"/>
      <c r="S2" s="81"/>
      <c r="T2" s="81"/>
      <c r="U2" s="81"/>
      <c r="V2" s="81"/>
      <c r="W2" s="81"/>
      <c r="X2" s="81"/>
      <c r="Y2" s="81"/>
      <c r="Z2" s="82"/>
      <c r="AA2" s="83"/>
      <c r="AB2" s="84"/>
      <c r="AC2" s="59"/>
      <c r="AD2" s="1"/>
      <c r="AE2" s="1"/>
      <c r="AF2" s="1"/>
    </row>
    <row r="3" spans="1:35">
      <c r="A3" s="314"/>
      <c r="B3" s="16" t="s">
        <v>86</v>
      </c>
      <c r="C3" s="23"/>
      <c r="D3" s="23"/>
      <c r="E3" s="23"/>
      <c r="F3" s="23"/>
      <c r="G3" s="23"/>
      <c r="H3" s="23"/>
      <c r="I3" s="23"/>
      <c r="J3" s="16"/>
      <c r="K3" s="269"/>
      <c r="L3" s="28"/>
      <c r="M3" s="23"/>
      <c r="N3" s="23"/>
      <c r="O3" s="23"/>
      <c r="P3" s="118"/>
      <c r="Q3" s="89"/>
      <c r="R3" s="87"/>
      <c r="S3" s="81"/>
      <c r="T3" s="81"/>
      <c r="U3" s="81"/>
      <c r="V3" s="81"/>
      <c r="W3" s="81"/>
      <c r="X3" s="81"/>
      <c r="Y3" s="81"/>
      <c r="Z3" s="82"/>
      <c r="AA3" s="83"/>
      <c r="AB3" s="84"/>
      <c r="AC3" s="59"/>
      <c r="AD3" s="1"/>
      <c r="AE3" s="1"/>
      <c r="AF3" s="1"/>
    </row>
    <row r="4" spans="1:35">
      <c r="A4" s="16"/>
      <c r="B4" s="16"/>
      <c r="C4" s="23"/>
      <c r="D4" s="23"/>
      <c r="E4" s="23" t="s">
        <v>44</v>
      </c>
      <c r="F4" s="23"/>
      <c r="G4" s="23"/>
      <c r="H4" s="23"/>
      <c r="I4" s="23"/>
      <c r="J4" s="23"/>
      <c r="K4" s="269"/>
      <c r="L4" s="28"/>
      <c r="M4" s="23"/>
      <c r="N4" s="23"/>
      <c r="O4" s="23"/>
      <c r="P4" s="118"/>
      <c r="Q4" s="89"/>
      <c r="R4" s="87"/>
      <c r="S4" s="81"/>
      <c r="T4" s="81"/>
      <c r="U4" s="81"/>
      <c r="V4" s="81"/>
      <c r="W4" s="81"/>
      <c r="X4" s="81"/>
      <c r="Y4" s="81"/>
      <c r="Z4" s="82"/>
      <c r="AA4" s="83"/>
      <c r="AB4" s="84"/>
      <c r="AC4" s="59"/>
      <c r="AD4" s="1"/>
      <c r="AE4" s="1"/>
      <c r="AF4" s="1"/>
    </row>
    <row r="5" spans="1:35" ht="26.4">
      <c r="B5" s="394" t="s">
        <v>161</v>
      </c>
      <c r="C5" s="38" t="s">
        <v>83</v>
      </c>
      <c r="D5" s="23" t="s">
        <v>27</v>
      </c>
      <c r="E5" s="23"/>
      <c r="F5" s="394" t="s">
        <v>165</v>
      </c>
      <c r="G5" s="394" t="s">
        <v>120</v>
      </c>
      <c r="H5" s="38" t="s">
        <v>155</v>
      </c>
      <c r="I5" s="38" t="s">
        <v>277</v>
      </c>
      <c r="J5" s="38" t="s">
        <v>278</v>
      </c>
      <c r="K5" s="510" t="s">
        <v>276</v>
      </c>
      <c r="L5" s="396" t="s">
        <v>121</v>
      </c>
      <c r="M5" s="20"/>
      <c r="N5" s="28"/>
      <c r="O5" s="28"/>
      <c r="P5" s="115"/>
      <c r="Q5" s="80"/>
      <c r="R5" s="80"/>
      <c r="S5" s="80"/>
      <c r="T5" s="80"/>
      <c r="U5" s="80"/>
      <c r="V5" s="80"/>
      <c r="W5" s="80"/>
      <c r="X5" s="80"/>
      <c r="Y5" s="80"/>
      <c r="Z5" s="79"/>
      <c r="AA5" s="90"/>
      <c r="AB5" s="91"/>
    </row>
    <row r="6" spans="1:35" ht="14.4">
      <c r="A6" s="422" t="s">
        <v>186</v>
      </c>
      <c r="B6" s="472">
        <v>4.03</v>
      </c>
      <c r="C6" s="471">
        <f>$B$21*B6+$B$22</f>
        <v>49.999999999999993</v>
      </c>
      <c r="D6" s="240">
        <f t="shared" ref="D6:D18" si="0">RANK(C6,$C$6:$C$18)</f>
        <v>1</v>
      </c>
      <c r="E6" s="177"/>
      <c r="F6" s="474">
        <v>6.3E-2</v>
      </c>
      <c r="G6" s="509">
        <v>1.32</v>
      </c>
      <c r="H6" s="508">
        <f>+G6/F6</f>
        <v>20.952380952380953</v>
      </c>
      <c r="I6" s="345">
        <f>$F$21*H6+$F$22</f>
        <v>50</v>
      </c>
      <c r="J6" s="240">
        <f>RANK(I6,$I$6:$I$18)</f>
        <v>1</v>
      </c>
      <c r="K6" s="120">
        <f>C6+I6</f>
        <v>100</v>
      </c>
      <c r="L6" s="397"/>
      <c r="M6" s="122"/>
      <c r="N6" s="28"/>
      <c r="O6" s="28"/>
      <c r="P6" s="119"/>
      <c r="Q6" s="80"/>
      <c r="R6" s="80"/>
      <c r="S6" s="80"/>
      <c r="T6" s="80"/>
      <c r="U6" s="80"/>
      <c r="V6" s="80"/>
      <c r="W6" s="80"/>
      <c r="X6" s="80"/>
      <c r="Y6" s="80"/>
      <c r="Z6" s="79"/>
      <c r="AA6" s="90"/>
      <c r="AB6" s="91"/>
      <c r="AH6" s="30"/>
      <c r="AI6" s="30"/>
    </row>
    <row r="7" spans="1:35" ht="14.4">
      <c r="A7" s="422" t="s">
        <v>187</v>
      </c>
      <c r="B7" s="473">
        <v>6.21</v>
      </c>
      <c r="C7" s="471">
        <f t="shared" ref="C7:C18" si="1">$B$21*B7+$B$22</f>
        <v>49.427963760910394</v>
      </c>
      <c r="D7" s="240">
        <f t="shared" si="0"/>
        <v>2</v>
      </c>
      <c r="E7" s="196"/>
      <c r="F7" s="475">
        <v>6.5000000000000002E-2</v>
      </c>
      <c r="G7" s="476">
        <v>1.31</v>
      </c>
      <c r="H7" s="508">
        <f t="shared" ref="H7:H9" si="2">+G7/F7</f>
        <v>20.153846153846153</v>
      </c>
      <c r="I7" s="345">
        <f t="shared" ref="I7:I18" si="3">$F$21*H7+$F$22</f>
        <v>45.686371506307182</v>
      </c>
      <c r="J7" s="240">
        <f>RANK(I7,$I$6:$I$18)</f>
        <v>2</v>
      </c>
      <c r="K7" s="120">
        <f t="shared" ref="K7:K13" si="4">C7+I7</f>
        <v>95.114335267217569</v>
      </c>
      <c r="L7" s="397"/>
      <c r="M7" s="122"/>
      <c r="N7" s="28"/>
      <c r="O7" s="28"/>
      <c r="P7" s="115"/>
      <c r="Q7" s="80"/>
      <c r="R7" s="80"/>
      <c r="S7" s="80"/>
      <c r="T7" s="80"/>
      <c r="U7" s="80"/>
      <c r="V7" s="80"/>
      <c r="W7" s="80"/>
      <c r="X7" s="80"/>
      <c r="Y7" s="80"/>
      <c r="Z7" s="79"/>
      <c r="AA7" s="90"/>
      <c r="AB7" s="91"/>
      <c r="AH7" s="30"/>
      <c r="AI7" s="30"/>
    </row>
    <row r="8" spans="1:35" ht="14.4">
      <c r="A8" s="423" t="s">
        <v>188</v>
      </c>
      <c r="B8" s="473">
        <v>14.12</v>
      </c>
      <c r="C8" s="471">
        <f t="shared" si="1"/>
        <v>47.352364379626557</v>
      </c>
      <c r="D8" s="240">
        <f t="shared" si="0"/>
        <v>4</v>
      </c>
      <c r="E8" s="196"/>
      <c r="F8" s="475">
        <v>7.0999999999999994E-2</v>
      </c>
      <c r="G8" s="476">
        <v>1.31</v>
      </c>
      <c r="H8" s="508">
        <f t="shared" si="2"/>
        <v>18.450704225352116</v>
      </c>
      <c r="I8" s="345">
        <f t="shared" si="3"/>
        <v>36.486119288075727</v>
      </c>
      <c r="J8" s="240">
        <f>RANK(I8,$I$6:$I$18)</f>
        <v>3</v>
      </c>
      <c r="K8" s="120">
        <f t="shared" si="4"/>
        <v>83.838483667702292</v>
      </c>
      <c r="L8" s="397"/>
      <c r="M8" s="122"/>
      <c r="N8" s="28"/>
      <c r="O8" s="28"/>
      <c r="P8" s="115"/>
      <c r="Q8" s="80"/>
      <c r="R8" s="80"/>
      <c r="S8" s="80"/>
      <c r="T8" s="80"/>
      <c r="U8" s="80"/>
      <c r="V8" s="80"/>
      <c r="W8" s="80"/>
      <c r="X8" s="80"/>
      <c r="Y8" s="80"/>
      <c r="Z8" s="79"/>
      <c r="AA8" s="90"/>
      <c r="AB8" s="91"/>
      <c r="AH8" s="30"/>
      <c r="AI8" s="30"/>
    </row>
    <row r="9" spans="1:35" s="199" customFormat="1" ht="14.4">
      <c r="A9" s="422" t="s">
        <v>189</v>
      </c>
      <c r="B9" s="473">
        <v>57.78</v>
      </c>
      <c r="C9" s="471">
        <f t="shared" si="1"/>
        <v>35.895895481162299</v>
      </c>
      <c r="D9" s="240">
        <f t="shared" si="0"/>
        <v>10</v>
      </c>
      <c r="E9" s="226"/>
      <c r="F9" s="475">
        <v>0.108</v>
      </c>
      <c r="G9" s="476">
        <v>1.3</v>
      </c>
      <c r="H9" s="508">
        <f t="shared" si="2"/>
        <v>12.037037037037038</v>
      </c>
      <c r="I9" s="345">
        <f t="shared" si="3"/>
        <v>1.8399428367274027</v>
      </c>
      <c r="J9" s="240">
        <f>RANK(I9,$I$6:$I$18)</f>
        <v>10</v>
      </c>
      <c r="K9" s="120">
        <f t="shared" si="4"/>
        <v>37.735838317889701</v>
      </c>
      <c r="L9" s="397"/>
      <c r="M9" s="231"/>
      <c r="N9" s="224"/>
      <c r="O9" s="224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02"/>
      <c r="AB9" s="200"/>
      <c r="AC9" s="200"/>
      <c r="AH9" s="230"/>
      <c r="AI9" s="230"/>
    </row>
    <row r="10" spans="1:35" s="199" customFormat="1" ht="14.4">
      <c r="A10" s="424" t="s">
        <v>190</v>
      </c>
      <c r="B10" s="473">
        <v>7.25</v>
      </c>
      <c r="C10" s="471">
        <f t="shared" si="1"/>
        <v>49.155065738592413</v>
      </c>
      <c r="D10" s="240">
        <f t="shared" si="0"/>
        <v>3</v>
      </c>
      <c r="E10" s="226"/>
      <c r="F10" s="475">
        <v>7.8E-2</v>
      </c>
      <c r="G10" s="476">
        <v>1.31</v>
      </c>
      <c r="H10" s="508">
        <f>+G10/F10</f>
        <v>16.794871794871796</v>
      </c>
      <c r="I10" s="345">
        <f t="shared" si="3"/>
        <v>27.541429631461781</v>
      </c>
      <c r="J10" s="240">
        <f t="shared" ref="J10:J18" si="5">RANK(I10,$I$6:$I$18)</f>
        <v>6</v>
      </c>
      <c r="K10" s="120">
        <f t="shared" si="4"/>
        <v>76.696495370054194</v>
      </c>
      <c r="L10" s="397"/>
      <c r="M10" s="231"/>
      <c r="N10" s="224"/>
      <c r="O10" s="224"/>
      <c r="P10" s="232"/>
      <c r="Q10" s="232"/>
      <c r="R10" s="232"/>
      <c r="S10" s="232"/>
      <c r="T10" s="229"/>
      <c r="U10" s="229"/>
      <c r="V10" s="229"/>
      <c r="W10" s="229"/>
      <c r="X10" s="229"/>
      <c r="Y10" s="229"/>
      <c r="Z10" s="202"/>
      <c r="AB10" s="200"/>
      <c r="AC10" s="200"/>
      <c r="AH10" s="230"/>
      <c r="AI10" s="230"/>
    </row>
    <row r="11" spans="1:35" ht="14.4">
      <c r="A11" s="422" t="s">
        <v>191</v>
      </c>
      <c r="B11" s="473">
        <v>36.31</v>
      </c>
      <c r="C11" s="471">
        <f t="shared" si="1"/>
        <v>41.529665230361282</v>
      </c>
      <c r="D11" s="240">
        <f t="shared" si="0"/>
        <v>9</v>
      </c>
      <c r="E11" s="177"/>
      <c r="F11" s="475">
        <v>7.0999999999999994E-2</v>
      </c>
      <c r="G11" s="476">
        <v>1.3</v>
      </c>
      <c r="H11" s="508">
        <f>+G11/F11</f>
        <v>18.30985915492958</v>
      </c>
      <c r="I11" s="345">
        <f t="shared" si="3"/>
        <v>35.725284180970078</v>
      </c>
      <c r="J11" s="240">
        <f t="shared" si="5"/>
        <v>4</v>
      </c>
      <c r="K11" s="120">
        <f t="shared" si="4"/>
        <v>77.254949411331353</v>
      </c>
      <c r="L11" s="397"/>
      <c r="M11" s="122"/>
      <c r="N11" s="28"/>
      <c r="O11" s="28"/>
      <c r="P11" s="119"/>
      <c r="Q11" s="93"/>
      <c r="R11" s="93"/>
      <c r="S11" s="93"/>
      <c r="T11" s="80"/>
      <c r="U11" s="80"/>
      <c r="V11" s="80"/>
      <c r="W11" s="80"/>
      <c r="X11" s="80"/>
      <c r="Y11" s="80"/>
      <c r="Z11" s="79"/>
      <c r="AA11" s="90"/>
      <c r="AB11" s="91"/>
      <c r="AH11" s="30"/>
      <c r="AI11" s="30"/>
    </row>
    <row r="12" spans="1:35" ht="14.4">
      <c r="A12" s="422" t="s">
        <v>192</v>
      </c>
      <c r="B12" s="473">
        <v>25.59</v>
      </c>
      <c r="C12" s="471">
        <f t="shared" si="1"/>
        <v>44.342614075792724</v>
      </c>
      <c r="D12" s="240">
        <f t="shared" si="0"/>
        <v>8</v>
      </c>
      <c r="E12" s="177"/>
      <c r="F12" s="475">
        <v>8.5999999999999993E-2</v>
      </c>
      <c r="G12" s="476">
        <v>1.31</v>
      </c>
      <c r="H12" s="508">
        <f t="shared" ref="H12:H18" si="6">+G12/F12</f>
        <v>15.232558139534886</v>
      </c>
      <c r="I12" s="345">
        <f t="shared" si="3"/>
        <v>19.101921782696493</v>
      </c>
      <c r="J12" s="240">
        <f t="shared" si="5"/>
        <v>9</v>
      </c>
      <c r="K12" s="120">
        <f t="shared" si="4"/>
        <v>63.444535858489218</v>
      </c>
      <c r="L12" s="397"/>
      <c r="M12" s="122"/>
      <c r="N12" s="28"/>
      <c r="O12" s="28"/>
      <c r="P12" s="119"/>
      <c r="Q12" s="93"/>
      <c r="R12" s="93"/>
      <c r="S12" s="93"/>
      <c r="T12" s="80"/>
      <c r="U12" s="80"/>
      <c r="V12" s="80"/>
      <c r="W12" s="80"/>
      <c r="X12" s="80"/>
      <c r="Y12" s="80"/>
      <c r="Z12" s="79"/>
      <c r="AA12" s="90"/>
      <c r="AB12" s="91"/>
      <c r="AH12" s="30"/>
      <c r="AI12" s="30"/>
    </row>
    <row r="13" spans="1:35" ht="14.4">
      <c r="A13" s="422" t="s">
        <v>193</v>
      </c>
      <c r="B13" s="473">
        <v>19.989999999999998</v>
      </c>
      <c r="C13" s="471">
        <f t="shared" si="1"/>
        <v>45.812064965197209</v>
      </c>
      <c r="D13" s="240">
        <f t="shared" si="0"/>
        <v>5</v>
      </c>
      <c r="E13" s="196"/>
      <c r="F13" s="475">
        <v>8.4000000000000005E-2</v>
      </c>
      <c r="G13" s="476">
        <v>1.3</v>
      </c>
      <c r="H13" s="508">
        <f t="shared" si="6"/>
        <v>15.476190476190476</v>
      </c>
      <c r="I13" s="345">
        <f t="shared" si="3"/>
        <v>20.418006430868161</v>
      </c>
      <c r="J13" s="240">
        <f t="shared" si="5"/>
        <v>7</v>
      </c>
      <c r="K13" s="120">
        <f t="shared" si="4"/>
        <v>66.23007139606537</v>
      </c>
      <c r="L13" s="397"/>
      <c r="M13" s="122"/>
      <c r="N13" s="28"/>
      <c r="O13" s="28"/>
      <c r="P13" s="115"/>
      <c r="Q13" s="80"/>
      <c r="R13" s="80"/>
      <c r="S13" s="80"/>
      <c r="T13" s="80"/>
      <c r="U13" s="80"/>
      <c r="V13" s="80"/>
      <c r="W13" s="80"/>
      <c r="X13" s="80"/>
      <c r="Y13" s="80"/>
      <c r="Z13" s="79"/>
      <c r="AA13" s="90"/>
      <c r="AB13" s="91"/>
      <c r="AH13" s="30"/>
      <c r="AI13" s="30"/>
    </row>
    <row r="14" spans="1:35" ht="14.4">
      <c r="A14" s="422" t="s">
        <v>194</v>
      </c>
      <c r="B14" s="473">
        <v>185.05</v>
      </c>
      <c r="C14" s="471">
        <f t="shared" si="1"/>
        <v>2.5</v>
      </c>
      <c r="D14" s="240">
        <f t="shared" si="0"/>
        <v>11</v>
      </c>
      <c r="E14" s="177"/>
      <c r="F14" s="475">
        <v>0.112</v>
      </c>
      <c r="G14" s="476">
        <v>1.31</v>
      </c>
      <c r="H14" s="508">
        <f t="shared" si="6"/>
        <v>11.696428571428571</v>
      </c>
      <c r="I14" s="345">
        <f t="shared" si="3"/>
        <v>0</v>
      </c>
      <c r="J14" s="240">
        <f t="shared" si="5"/>
        <v>11</v>
      </c>
      <c r="K14" s="120">
        <f>C14+I14</f>
        <v>2.5</v>
      </c>
      <c r="L14" s="397"/>
      <c r="M14" s="122"/>
      <c r="N14" s="28"/>
      <c r="O14" s="28"/>
      <c r="P14" s="115"/>
      <c r="Q14" s="80"/>
      <c r="R14" s="80"/>
      <c r="S14" s="80"/>
      <c r="T14" s="80"/>
      <c r="U14" s="80"/>
      <c r="V14" s="80"/>
      <c r="W14" s="80"/>
      <c r="X14" s="80"/>
      <c r="Y14" s="80"/>
      <c r="Z14" s="79"/>
      <c r="AA14" s="90"/>
      <c r="AB14" s="91"/>
      <c r="AH14" s="30"/>
      <c r="AI14" s="30"/>
    </row>
    <row r="15" spans="1:35" ht="14.4">
      <c r="A15" s="422" t="s">
        <v>195</v>
      </c>
      <c r="B15" s="473" t="s">
        <v>240</v>
      </c>
      <c r="C15" s="471">
        <v>0</v>
      </c>
      <c r="D15" s="240">
        <f t="shared" si="0"/>
        <v>12</v>
      </c>
      <c r="E15" s="374"/>
      <c r="F15" s="475" t="s">
        <v>240</v>
      </c>
      <c r="G15" s="476" t="s">
        <v>44</v>
      </c>
      <c r="H15" s="508" t="s">
        <v>44</v>
      </c>
      <c r="I15" s="345">
        <v>0</v>
      </c>
      <c r="J15" s="240">
        <f t="shared" si="5"/>
        <v>11</v>
      </c>
      <c r="K15" s="120">
        <f>C15+I15</f>
        <v>0</v>
      </c>
      <c r="L15" s="397"/>
      <c r="M15" s="122"/>
      <c r="N15" s="28"/>
      <c r="O15" s="28"/>
      <c r="P15" s="115"/>
      <c r="Q15" s="80"/>
      <c r="R15" s="80"/>
      <c r="S15" s="80"/>
      <c r="T15" s="80"/>
      <c r="U15" s="80"/>
      <c r="V15" s="80"/>
      <c r="W15" s="80"/>
      <c r="X15" s="80"/>
      <c r="Y15" s="80"/>
      <c r="Z15" s="79"/>
      <c r="AA15" s="90"/>
      <c r="AB15" s="91"/>
      <c r="AH15" s="30"/>
      <c r="AI15" s="30"/>
    </row>
    <row r="16" spans="1:35" s="137" customFormat="1" ht="14.4">
      <c r="A16" s="422" t="s">
        <v>196</v>
      </c>
      <c r="B16" s="473">
        <v>24.16</v>
      </c>
      <c r="C16" s="471">
        <f t="shared" si="1"/>
        <v>44.717848856479947</v>
      </c>
      <c r="D16" s="240">
        <f t="shared" si="0"/>
        <v>7</v>
      </c>
      <c r="E16" s="177"/>
      <c r="F16" s="475">
        <v>7.1999999999999995E-2</v>
      </c>
      <c r="G16" s="476">
        <v>1.31</v>
      </c>
      <c r="H16" s="508">
        <f t="shared" si="6"/>
        <v>18.194444444444446</v>
      </c>
      <c r="I16" s="345">
        <f t="shared" si="3"/>
        <v>35.101822079314047</v>
      </c>
      <c r="J16" s="240">
        <f t="shared" si="5"/>
        <v>5</v>
      </c>
      <c r="K16" s="120">
        <f>C16+I16</f>
        <v>79.819670935793994</v>
      </c>
      <c r="L16" s="397"/>
      <c r="M16" s="146"/>
      <c r="N16" s="145"/>
      <c r="O16" s="145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31"/>
      <c r="AA16" s="140"/>
      <c r="AB16" s="139"/>
      <c r="AC16" s="136"/>
      <c r="AH16" s="148"/>
      <c r="AI16" s="148"/>
    </row>
    <row r="17" spans="1:35" s="137" customFormat="1" ht="14.4">
      <c r="A17" s="422" t="s">
        <v>197</v>
      </c>
      <c r="B17" s="473" t="s">
        <v>240</v>
      </c>
      <c r="C17" s="471">
        <v>0</v>
      </c>
      <c r="D17" s="240">
        <f t="shared" si="0"/>
        <v>12</v>
      </c>
      <c r="E17" s="177"/>
      <c r="F17" s="475" t="s">
        <v>240</v>
      </c>
      <c r="G17" s="476" t="s">
        <v>44</v>
      </c>
      <c r="H17" s="508" t="s">
        <v>44</v>
      </c>
      <c r="I17" s="345">
        <v>0</v>
      </c>
      <c r="J17" s="240">
        <f t="shared" si="5"/>
        <v>11</v>
      </c>
      <c r="K17" s="120">
        <f>C17+I17</f>
        <v>0</v>
      </c>
      <c r="L17" s="397" t="s">
        <v>168</v>
      </c>
      <c r="M17" s="146"/>
      <c r="N17" s="145"/>
      <c r="O17" s="145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31"/>
      <c r="AA17" s="140"/>
      <c r="AB17" s="139"/>
      <c r="AC17" s="136"/>
      <c r="AH17" s="148"/>
      <c r="AI17" s="148"/>
    </row>
    <row r="18" spans="1:35" ht="14.4">
      <c r="A18" s="422" t="s">
        <v>198</v>
      </c>
      <c r="B18" s="473">
        <v>22.45</v>
      </c>
      <c r="C18" s="471">
        <f t="shared" si="1"/>
        <v>45.166556181637382</v>
      </c>
      <c r="D18" s="240">
        <f t="shared" si="0"/>
        <v>6</v>
      </c>
      <c r="E18" s="177"/>
      <c r="F18" s="475">
        <v>8.5000000000000006E-2</v>
      </c>
      <c r="G18" s="476">
        <v>1.31</v>
      </c>
      <c r="H18" s="508">
        <f t="shared" si="6"/>
        <v>15.411764705882353</v>
      </c>
      <c r="I18" s="345">
        <f t="shared" si="3"/>
        <v>20.069982977113668</v>
      </c>
      <c r="J18" s="240">
        <f t="shared" si="5"/>
        <v>8</v>
      </c>
      <c r="K18" s="120">
        <f>C18+I18</f>
        <v>65.236539158751043</v>
      </c>
      <c r="L18" s="398"/>
      <c r="M18" s="39"/>
      <c r="N18" s="39"/>
      <c r="O18" s="39"/>
      <c r="P18" s="121"/>
      <c r="Q18" s="95"/>
      <c r="R18" s="95"/>
      <c r="S18" s="96"/>
      <c r="T18" s="96"/>
      <c r="U18" s="96"/>
      <c r="V18" s="96"/>
      <c r="W18" s="96"/>
      <c r="X18" s="96"/>
      <c r="Y18" s="96"/>
      <c r="Z18" s="97"/>
      <c r="AA18" s="98"/>
      <c r="AB18" s="99"/>
      <c r="AC18" s="47"/>
      <c r="AD18" s="31"/>
      <c r="AE18" s="31"/>
      <c r="AF18" s="31"/>
      <c r="AG18" s="31"/>
      <c r="AH18" s="30"/>
      <c r="AI18" s="30"/>
    </row>
    <row r="19" spans="1:35" ht="14.4">
      <c r="A19" s="351"/>
      <c r="B19" s="128"/>
      <c r="C19" s="94"/>
      <c r="D19" s="94"/>
      <c r="E19" s="94"/>
      <c r="F19" s="94"/>
      <c r="G19" s="94"/>
      <c r="H19" s="94"/>
      <c r="I19" s="94"/>
      <c r="J19" s="94"/>
      <c r="K19" s="270"/>
      <c r="L19" s="399"/>
      <c r="M19" s="94"/>
      <c r="N19" s="101"/>
      <c r="O19" s="92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02"/>
      <c r="AA19" s="108"/>
      <c r="AB19" s="112"/>
      <c r="AC19" s="47"/>
      <c r="AD19" s="31"/>
      <c r="AE19" s="31"/>
      <c r="AF19" s="31"/>
      <c r="AG19" s="31"/>
      <c r="AH19" s="30"/>
      <c r="AI19" s="30"/>
    </row>
    <row r="20" spans="1:35">
      <c r="A20" s="85"/>
      <c r="B20" s="94"/>
      <c r="C20" s="94"/>
      <c r="D20" s="94"/>
      <c r="E20" s="94"/>
      <c r="F20" s="94"/>
      <c r="G20" s="94"/>
      <c r="H20" s="94"/>
      <c r="I20" s="94"/>
      <c r="J20" s="94"/>
      <c r="K20" s="270"/>
      <c r="L20" s="94"/>
      <c r="M20" s="94"/>
      <c r="N20" s="101"/>
      <c r="O20" s="92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02"/>
      <c r="AA20" s="108"/>
      <c r="AB20" s="112"/>
      <c r="AC20" s="47"/>
      <c r="AD20" s="31"/>
      <c r="AE20" s="31"/>
      <c r="AF20" s="31"/>
      <c r="AG20" s="31"/>
      <c r="AH20" s="30"/>
      <c r="AI20" s="30"/>
    </row>
    <row r="21" spans="1:35" ht="13.8">
      <c r="A21" s="85" t="s">
        <v>274</v>
      </c>
      <c r="B21" s="362">
        <f>(50-2.5)/(F1-F2)</f>
        <v>-0.26240194453651527</v>
      </c>
      <c r="D21" s="135"/>
      <c r="E21" s="94"/>
      <c r="F21" s="362">
        <f>(50)/(J2-J1)</f>
        <v>5.4019292604501601</v>
      </c>
      <c r="G21" s="94"/>
      <c r="I21" s="94"/>
      <c r="J21" s="94"/>
      <c r="K21" s="270"/>
      <c r="L21" s="94"/>
      <c r="M21" s="94"/>
      <c r="N21" s="101"/>
      <c r="O21" s="92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02"/>
      <c r="AA21" s="113"/>
      <c r="AB21" s="112"/>
    </row>
    <row r="22" spans="1:35" ht="13.8">
      <c r="A22" s="85" t="s">
        <v>275</v>
      </c>
      <c r="B22" s="363">
        <f>2.5-(B21*F2)</f>
        <v>51.057479836482152</v>
      </c>
      <c r="D22" s="171" t="s">
        <v>44</v>
      </c>
      <c r="E22" s="94"/>
      <c r="F22" s="363">
        <f>-(F21*J1)</f>
        <v>-63.183279742765265</v>
      </c>
      <c r="G22" s="94"/>
      <c r="I22" s="94"/>
      <c r="J22" s="94"/>
      <c r="K22" s="270"/>
      <c r="L22" s="94"/>
      <c r="M22" s="94"/>
      <c r="N22" s="101"/>
      <c r="O22" s="92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02"/>
      <c r="AA22" s="113"/>
      <c r="AB22" s="112"/>
    </row>
    <row r="23" spans="1:35" ht="13.8">
      <c r="A23" s="85" t="s">
        <v>44</v>
      </c>
      <c r="B23" s="86"/>
      <c r="C23" s="170"/>
      <c r="D23" s="170"/>
      <c r="E23" s="86"/>
      <c r="F23" s="86"/>
      <c r="G23" s="86"/>
      <c r="H23" s="86"/>
      <c r="I23" s="86"/>
      <c r="J23" s="86"/>
      <c r="K23" s="270"/>
      <c r="L23" s="86"/>
      <c r="M23" s="86"/>
      <c r="N23" s="101"/>
      <c r="O23" s="92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102"/>
      <c r="AA23" s="113"/>
      <c r="AB23" s="112"/>
    </row>
    <row r="24" spans="1:35">
      <c r="A24" s="85"/>
      <c r="B24" s="94"/>
      <c r="C24" s="94" t="s">
        <v>44</v>
      </c>
      <c r="D24" s="173" t="s">
        <v>44</v>
      </c>
      <c r="E24" s="94"/>
      <c r="F24" s="94"/>
      <c r="G24" s="94"/>
      <c r="H24" s="94"/>
      <c r="I24" s="94"/>
      <c r="J24" s="94"/>
      <c r="K24" s="270"/>
      <c r="L24" s="94"/>
      <c r="M24" s="94"/>
      <c r="N24" s="101"/>
      <c r="O24" s="92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02"/>
      <c r="AA24" s="113"/>
      <c r="AB24" s="112"/>
    </row>
    <row r="25" spans="1:35">
      <c r="A25" s="85"/>
      <c r="B25" s="94"/>
      <c r="C25" s="94" t="s">
        <v>77</v>
      </c>
      <c r="D25" s="94"/>
      <c r="E25" s="94"/>
      <c r="F25" s="94"/>
      <c r="G25" s="94"/>
      <c r="H25" s="94"/>
      <c r="I25" s="94"/>
      <c r="J25" s="94"/>
      <c r="K25" s="270"/>
      <c r="L25" s="94"/>
      <c r="M25" s="94"/>
      <c r="N25" s="101"/>
      <c r="O25" s="92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02"/>
      <c r="AA25" s="113"/>
      <c r="AB25" s="112"/>
    </row>
    <row r="26" spans="1:35">
      <c r="A26" s="85"/>
      <c r="B26" s="86"/>
      <c r="C26" s="86"/>
      <c r="D26" s="86"/>
      <c r="E26" s="86"/>
      <c r="F26" s="86"/>
      <c r="G26" s="86"/>
      <c r="H26" s="86"/>
      <c r="I26" s="86"/>
      <c r="J26" s="86"/>
      <c r="K26" s="270"/>
      <c r="L26" s="86"/>
      <c r="M26" s="86"/>
      <c r="N26" s="101"/>
      <c r="O26" s="92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102"/>
      <c r="AA26" s="113"/>
      <c r="AB26" s="112"/>
    </row>
    <row r="27" spans="1:35">
      <c r="A27" s="85"/>
      <c r="B27" s="86"/>
      <c r="C27" s="86"/>
      <c r="D27" s="86"/>
      <c r="E27" s="86"/>
      <c r="F27" s="86"/>
      <c r="G27" s="86"/>
      <c r="H27" s="86"/>
      <c r="I27" s="86"/>
      <c r="J27" s="86"/>
      <c r="K27" s="270"/>
      <c r="L27" s="86"/>
      <c r="M27" s="86"/>
      <c r="N27" s="101"/>
      <c r="O27" s="92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102"/>
      <c r="AA27" s="113"/>
      <c r="AB27" s="112"/>
    </row>
    <row r="28" spans="1:35">
      <c r="A28" s="85"/>
      <c r="B28" s="94"/>
      <c r="C28" s="94"/>
      <c r="D28" s="94"/>
      <c r="E28" s="94"/>
      <c r="F28" s="94"/>
      <c r="G28" s="94"/>
      <c r="H28" s="94"/>
      <c r="I28" s="94"/>
      <c r="J28" s="94"/>
      <c r="K28" s="270"/>
      <c r="L28" s="94"/>
      <c r="M28" s="94"/>
      <c r="N28" s="101"/>
      <c r="O28" s="92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02"/>
      <c r="AA28" s="113"/>
      <c r="AB28" s="112"/>
    </row>
    <row r="29" spans="1:35">
      <c r="A29" s="85"/>
      <c r="B29" s="94"/>
      <c r="C29" s="94"/>
      <c r="D29" s="94"/>
      <c r="E29" s="94"/>
      <c r="F29" s="94"/>
      <c r="G29" s="94"/>
      <c r="H29" s="94"/>
      <c r="I29" s="94"/>
      <c r="J29" s="94"/>
      <c r="K29" s="270"/>
      <c r="L29" s="94"/>
      <c r="M29" s="94"/>
      <c r="N29" s="101"/>
      <c r="O29" s="92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02"/>
      <c r="AA29" s="113"/>
      <c r="AB29" s="112"/>
    </row>
    <row r="30" spans="1:35">
      <c r="A30" s="85"/>
      <c r="B30" s="86"/>
      <c r="C30" s="86"/>
      <c r="D30" s="86"/>
      <c r="E30" s="86"/>
      <c r="F30" s="86"/>
      <c r="G30" s="86"/>
      <c r="H30" s="86"/>
      <c r="I30" s="86"/>
      <c r="J30" s="86"/>
      <c r="K30" s="270"/>
      <c r="L30" s="86"/>
      <c r="M30" s="86"/>
      <c r="N30" s="101"/>
      <c r="O30" s="92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102"/>
      <c r="AA30" s="113"/>
      <c r="AB30" s="112"/>
    </row>
    <row r="31" spans="1:35">
      <c r="A31" s="85"/>
      <c r="B31" s="114"/>
      <c r="C31" s="94"/>
      <c r="D31" s="94"/>
      <c r="E31" s="94"/>
      <c r="F31" s="94"/>
      <c r="G31" s="94"/>
      <c r="H31" s="94"/>
      <c r="I31" s="94"/>
      <c r="J31" s="94"/>
      <c r="K31" s="270"/>
      <c r="L31" s="94"/>
      <c r="M31" s="94"/>
      <c r="N31" s="101"/>
      <c r="O31" s="92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02"/>
      <c r="AA31" s="113"/>
      <c r="AB31" s="112"/>
    </row>
    <row r="32" spans="1:35">
      <c r="A32" s="85"/>
      <c r="B32" s="94"/>
      <c r="C32" s="94"/>
      <c r="D32" s="94"/>
      <c r="E32" s="94"/>
      <c r="F32" s="94"/>
      <c r="G32" s="94"/>
      <c r="H32" s="94"/>
      <c r="I32" s="94"/>
      <c r="J32" s="94"/>
      <c r="K32" s="270"/>
      <c r="L32" s="94"/>
      <c r="M32" s="94"/>
      <c r="N32" s="102"/>
      <c r="O32" s="92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02"/>
      <c r="AA32" s="113"/>
      <c r="AB32" s="84"/>
    </row>
    <row r="33" spans="1:28">
      <c r="A33" s="85"/>
      <c r="B33" s="86"/>
      <c r="C33" s="86"/>
      <c r="D33" s="166"/>
      <c r="E33" s="71"/>
      <c r="F33" s="71"/>
      <c r="G33" s="86"/>
      <c r="H33" s="86"/>
      <c r="I33" s="86"/>
      <c r="J33" s="86"/>
      <c r="K33" s="270"/>
      <c r="L33" s="86"/>
      <c r="M33" s="86"/>
      <c r="N33" s="101"/>
      <c r="O33" s="92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102"/>
      <c r="AA33" s="113"/>
      <c r="AB33" s="112"/>
    </row>
    <row r="34" spans="1:28">
      <c r="A34" s="85"/>
      <c r="B34" s="94"/>
      <c r="C34" s="94"/>
      <c r="D34" s="71"/>
      <c r="E34" s="71"/>
      <c r="F34" s="165"/>
      <c r="G34" s="163"/>
      <c r="H34" s="163"/>
      <c r="I34" s="163"/>
      <c r="J34" s="94"/>
      <c r="K34" s="270"/>
      <c r="L34" s="94"/>
      <c r="M34" s="94"/>
      <c r="N34" s="101"/>
      <c r="O34" s="92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02"/>
      <c r="AA34" s="113"/>
      <c r="AB34" s="112"/>
    </row>
    <row r="35" spans="1:28">
      <c r="A35" s="85"/>
      <c r="B35" s="94"/>
      <c r="C35" s="86"/>
      <c r="D35" s="71"/>
      <c r="E35" s="71"/>
      <c r="F35" s="71"/>
      <c r="G35" s="86"/>
      <c r="H35" s="86"/>
      <c r="I35" s="86"/>
      <c r="J35" s="86"/>
      <c r="K35" s="270"/>
      <c r="L35" s="86"/>
      <c r="M35" s="86"/>
      <c r="N35" s="101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102"/>
      <c r="AA35" s="113"/>
      <c r="AB35" s="112"/>
    </row>
    <row r="36" spans="1:28">
      <c r="A36" s="79"/>
      <c r="B36" s="86"/>
      <c r="C36" s="86"/>
      <c r="D36" s="86"/>
      <c r="E36" s="86"/>
      <c r="F36" s="86"/>
      <c r="G36" s="86"/>
      <c r="H36" s="86"/>
      <c r="I36" s="86"/>
      <c r="J36" s="86"/>
      <c r="K36" s="270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113"/>
      <c r="AB36" s="84"/>
    </row>
    <row r="37" spans="1:28">
      <c r="A37" s="79"/>
      <c r="B37" s="86"/>
      <c r="C37" s="86"/>
      <c r="D37" s="86"/>
      <c r="E37" s="86"/>
      <c r="F37" s="86"/>
      <c r="G37" s="86"/>
      <c r="H37" s="86"/>
      <c r="I37" s="86"/>
      <c r="J37" s="86"/>
      <c r="K37" s="270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113"/>
      <c r="AB37" s="84"/>
    </row>
    <row r="38" spans="1:28">
      <c r="A38" s="79"/>
      <c r="B38" s="88"/>
      <c r="C38" s="88"/>
      <c r="D38" s="88"/>
      <c r="E38" s="88"/>
      <c r="F38" s="88"/>
      <c r="G38" s="88"/>
      <c r="H38" s="88"/>
      <c r="I38" s="88"/>
      <c r="J38" s="88"/>
      <c r="K38" s="271"/>
      <c r="L38" s="88"/>
      <c r="M38" s="88"/>
      <c r="N38" s="88"/>
      <c r="O38" s="86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113"/>
      <c r="AB38" s="84"/>
    </row>
    <row r="39" spans="1:28">
      <c r="A39" s="104"/>
      <c r="B39" s="86"/>
      <c r="C39" s="86"/>
      <c r="D39" s="86"/>
      <c r="E39" s="86"/>
      <c r="F39" s="86"/>
      <c r="G39" s="86"/>
      <c r="H39" s="86"/>
      <c r="I39" s="86"/>
      <c r="J39" s="86"/>
      <c r="K39" s="270"/>
      <c r="L39" s="86"/>
      <c r="M39" s="86"/>
      <c r="N39" s="101"/>
      <c r="O39" s="92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102"/>
      <c r="AA39" s="113"/>
      <c r="AB39" s="112"/>
    </row>
    <row r="40" spans="1:28">
      <c r="A40" s="85"/>
      <c r="B40" s="86"/>
      <c r="C40" s="86"/>
      <c r="D40" s="86"/>
      <c r="E40" s="86"/>
      <c r="F40" s="86"/>
      <c r="G40" s="86"/>
      <c r="H40" s="86"/>
      <c r="I40" s="86"/>
      <c r="J40" s="86"/>
      <c r="K40" s="270"/>
      <c r="L40" s="86"/>
      <c r="M40" s="86"/>
      <c r="N40" s="101"/>
      <c r="O40" s="92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102"/>
      <c r="AA40" s="113"/>
      <c r="AB40" s="112"/>
    </row>
    <row r="41" spans="1:28">
      <c r="A41" s="85"/>
      <c r="B41" s="86"/>
      <c r="C41" s="86"/>
      <c r="D41" s="86"/>
      <c r="E41" s="86"/>
      <c r="F41" s="86"/>
      <c r="G41" s="86"/>
      <c r="H41" s="86"/>
      <c r="I41" s="86"/>
      <c r="J41" s="86"/>
      <c r="K41" s="270"/>
      <c r="L41" s="86"/>
      <c r="M41" s="86"/>
      <c r="N41" s="101"/>
      <c r="O41" s="92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102"/>
      <c r="AA41" s="113"/>
      <c r="AB41" s="112"/>
    </row>
    <row r="42" spans="1:28">
      <c r="A42" s="85"/>
      <c r="B42" s="86"/>
      <c r="C42" s="86"/>
      <c r="D42" s="86"/>
      <c r="E42" s="86"/>
      <c r="F42" s="86"/>
      <c r="G42" s="86"/>
      <c r="H42" s="86"/>
      <c r="I42" s="86"/>
      <c r="J42" s="86"/>
      <c r="K42" s="270"/>
      <c r="L42" s="86"/>
      <c r="M42" s="86"/>
      <c r="N42" s="101"/>
      <c r="O42" s="92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102"/>
      <c r="AA42" s="113"/>
      <c r="AB42" s="112"/>
    </row>
    <row r="43" spans="1:28">
      <c r="A43" s="85"/>
      <c r="B43" s="86"/>
      <c r="C43" s="86"/>
      <c r="D43" s="86"/>
      <c r="E43" s="86"/>
      <c r="F43" s="86"/>
      <c r="G43" s="86"/>
      <c r="H43" s="86"/>
      <c r="I43" s="86"/>
      <c r="J43" s="86"/>
      <c r="K43" s="270"/>
      <c r="L43" s="86"/>
      <c r="M43" s="86"/>
      <c r="N43" s="101"/>
      <c r="O43" s="92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102"/>
      <c r="AA43" s="113"/>
      <c r="AB43" s="112"/>
    </row>
    <row r="44" spans="1:28">
      <c r="A44" s="85"/>
      <c r="B44" s="86"/>
      <c r="C44" s="86"/>
      <c r="D44" s="86"/>
      <c r="E44" s="86"/>
      <c r="F44" s="86"/>
      <c r="G44" s="86"/>
      <c r="H44" s="86"/>
      <c r="I44" s="86"/>
      <c r="J44" s="86"/>
      <c r="K44" s="270"/>
      <c r="L44" s="86"/>
      <c r="M44" s="86"/>
      <c r="N44" s="101"/>
      <c r="O44" s="92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102"/>
      <c r="AA44" s="113"/>
      <c r="AB44" s="112"/>
    </row>
    <row r="45" spans="1:28">
      <c r="A45" s="85"/>
      <c r="B45" s="86"/>
      <c r="C45" s="86"/>
      <c r="D45" s="86"/>
      <c r="E45" s="86"/>
      <c r="F45" s="86"/>
      <c r="G45" s="86"/>
      <c r="H45" s="86"/>
      <c r="I45" s="86"/>
      <c r="J45" s="86"/>
      <c r="K45" s="270"/>
      <c r="L45" s="86"/>
      <c r="M45" s="86"/>
      <c r="N45" s="101"/>
      <c r="O45" s="92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102"/>
      <c r="AA45" s="113"/>
      <c r="AB45" s="112"/>
    </row>
    <row r="46" spans="1:28">
      <c r="A46" s="85"/>
      <c r="B46" s="86"/>
      <c r="C46" s="86"/>
      <c r="D46" s="86"/>
      <c r="E46" s="86"/>
      <c r="F46" s="86"/>
      <c r="G46" s="86"/>
      <c r="H46" s="86"/>
      <c r="I46" s="86"/>
      <c r="J46" s="86"/>
      <c r="K46" s="270"/>
      <c r="L46" s="86"/>
      <c r="M46" s="86"/>
      <c r="N46" s="101"/>
      <c r="O46" s="92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102"/>
      <c r="AA46" s="113"/>
      <c r="AB46" s="112"/>
    </row>
    <row r="47" spans="1:28">
      <c r="A47" s="85"/>
      <c r="B47" s="86"/>
      <c r="C47" s="86"/>
      <c r="D47" s="86"/>
      <c r="E47" s="86"/>
      <c r="F47" s="86"/>
      <c r="G47" s="86"/>
      <c r="H47" s="86"/>
      <c r="I47" s="86"/>
      <c r="J47" s="86"/>
      <c r="K47" s="270"/>
      <c r="L47" s="86"/>
      <c r="M47" s="86"/>
      <c r="N47" s="101"/>
      <c r="O47" s="92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102"/>
      <c r="AA47" s="113"/>
      <c r="AB47" s="112"/>
    </row>
    <row r="48" spans="1:28">
      <c r="A48" s="85"/>
      <c r="B48" s="86"/>
      <c r="C48" s="86"/>
      <c r="D48" s="86"/>
      <c r="E48" s="86"/>
      <c r="F48" s="86"/>
      <c r="G48" s="86"/>
      <c r="H48" s="86"/>
      <c r="I48" s="86"/>
      <c r="J48" s="86"/>
      <c r="K48" s="270"/>
      <c r="L48" s="86"/>
      <c r="M48" s="86"/>
      <c r="N48" s="101"/>
      <c r="O48" s="92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102"/>
      <c r="AA48" s="113"/>
      <c r="AB48" s="112"/>
    </row>
    <row r="49" spans="1:28">
      <c r="A49" s="85"/>
      <c r="B49" s="86"/>
      <c r="C49" s="86"/>
      <c r="D49" s="86"/>
      <c r="E49" s="86"/>
      <c r="F49" s="86"/>
      <c r="G49" s="86"/>
      <c r="H49" s="86"/>
      <c r="I49" s="86"/>
      <c r="J49" s="86"/>
      <c r="K49" s="270"/>
      <c r="L49" s="86"/>
      <c r="M49" s="86"/>
      <c r="N49" s="101"/>
      <c r="O49" s="92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102"/>
      <c r="AA49" s="113"/>
      <c r="AB49" s="112"/>
    </row>
    <row r="50" spans="1:28">
      <c r="A50" s="85"/>
      <c r="B50" s="86"/>
      <c r="C50" s="86"/>
      <c r="D50" s="86"/>
      <c r="E50" s="86"/>
      <c r="F50" s="86"/>
      <c r="G50" s="86"/>
      <c r="H50" s="86"/>
      <c r="I50" s="86"/>
      <c r="J50" s="86"/>
      <c r="K50" s="270"/>
      <c r="L50" s="86"/>
      <c r="M50" s="86"/>
      <c r="N50" s="101"/>
      <c r="O50" s="92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102"/>
      <c r="AA50" s="113"/>
      <c r="AB50" s="112"/>
    </row>
    <row r="51" spans="1:28">
      <c r="A51" s="85"/>
      <c r="B51" s="86"/>
      <c r="C51" s="86"/>
      <c r="D51" s="86"/>
      <c r="E51" s="86"/>
      <c r="F51" s="86"/>
      <c r="G51" s="86"/>
      <c r="H51" s="86"/>
      <c r="I51" s="86"/>
      <c r="J51" s="86"/>
      <c r="K51" s="270"/>
      <c r="L51" s="86"/>
      <c r="M51" s="86"/>
      <c r="N51" s="101"/>
      <c r="O51" s="92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102"/>
      <c r="AA51" s="113"/>
      <c r="AB51" s="112"/>
    </row>
    <row r="52" spans="1:28">
      <c r="A52" s="85"/>
      <c r="B52" s="94"/>
      <c r="C52" s="94"/>
      <c r="D52" s="94"/>
      <c r="E52" s="94"/>
      <c r="F52" s="94"/>
      <c r="G52" s="94"/>
      <c r="H52" s="94"/>
      <c r="I52" s="94"/>
      <c r="J52" s="94"/>
      <c r="K52" s="270"/>
      <c r="L52" s="94"/>
      <c r="M52" s="94"/>
      <c r="N52" s="102"/>
      <c r="O52" s="92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102"/>
      <c r="AA52" s="113"/>
      <c r="AB52" s="84"/>
    </row>
    <row r="53" spans="1:28">
      <c r="A53" s="85"/>
      <c r="B53" s="86"/>
      <c r="C53" s="86"/>
      <c r="D53" s="86"/>
      <c r="E53" s="86"/>
      <c r="F53" s="86"/>
      <c r="G53" s="86"/>
      <c r="H53" s="86"/>
      <c r="I53" s="86"/>
      <c r="J53" s="86"/>
      <c r="K53" s="270"/>
      <c r="L53" s="86"/>
      <c r="M53" s="86"/>
      <c r="N53" s="101"/>
      <c r="O53" s="92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102"/>
      <c r="AA53" s="113"/>
      <c r="AB53" s="112"/>
    </row>
    <row r="54" spans="1:28">
      <c r="A54" s="85"/>
      <c r="B54" s="86"/>
      <c r="C54" s="86"/>
      <c r="D54" s="86"/>
      <c r="E54" s="86"/>
      <c r="F54" s="86"/>
      <c r="G54" s="86"/>
      <c r="H54" s="86"/>
      <c r="I54" s="86"/>
      <c r="J54" s="86"/>
      <c r="K54" s="270"/>
      <c r="L54" s="86"/>
      <c r="M54" s="86"/>
      <c r="N54" s="101"/>
      <c r="O54" s="92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102"/>
      <c r="AA54" s="113"/>
      <c r="AB54" s="112"/>
    </row>
    <row r="55" spans="1:28">
      <c r="A55" s="85"/>
      <c r="B55" s="113"/>
      <c r="C55" s="113"/>
      <c r="D55" s="113"/>
      <c r="E55" s="113"/>
      <c r="F55" s="113"/>
      <c r="G55" s="113"/>
      <c r="H55" s="113"/>
      <c r="I55" s="113"/>
      <c r="J55" s="113"/>
      <c r="K55" s="272"/>
      <c r="L55" s="113"/>
      <c r="M55" s="113"/>
      <c r="N55" s="105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06"/>
      <c r="AA55" s="113"/>
      <c r="AB55" s="84"/>
    </row>
    <row r="56" spans="1:28">
      <c r="A56" s="90"/>
      <c r="B56" s="113"/>
      <c r="C56" s="113"/>
      <c r="D56" s="113"/>
      <c r="E56" s="113"/>
      <c r="F56" s="113"/>
      <c r="G56" s="113"/>
      <c r="H56" s="113"/>
      <c r="I56" s="113"/>
      <c r="J56" s="113"/>
      <c r="K56" s="272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84"/>
    </row>
    <row r="57" spans="1:28">
      <c r="A57" s="90"/>
      <c r="B57" s="84"/>
      <c r="C57" s="84"/>
      <c r="D57" s="84"/>
      <c r="E57" s="84"/>
      <c r="F57" s="84"/>
      <c r="G57" s="84"/>
      <c r="H57" s="84"/>
      <c r="I57" s="84"/>
      <c r="J57" s="84"/>
      <c r="K57" s="273"/>
      <c r="L57" s="84"/>
      <c r="M57" s="84"/>
      <c r="N57" s="113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</row>
    <row r="58" spans="1:28">
      <c r="A58" s="90"/>
      <c r="B58" s="91"/>
      <c r="C58" s="91"/>
      <c r="D58" s="91"/>
      <c r="E58" s="91"/>
      <c r="F58" s="91"/>
      <c r="G58" s="91"/>
      <c r="H58" s="91"/>
      <c r="I58" s="91"/>
      <c r="J58" s="91"/>
      <c r="K58" s="274"/>
      <c r="L58" s="91"/>
      <c r="M58" s="91"/>
      <c r="N58" s="103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</row>
    <row r="59" spans="1:28">
      <c r="A59" s="90"/>
      <c r="B59" s="91"/>
      <c r="C59" s="91"/>
      <c r="D59" s="91"/>
      <c r="E59" s="91"/>
      <c r="F59" s="91"/>
      <c r="G59" s="91"/>
      <c r="H59" s="91"/>
      <c r="I59" s="91"/>
      <c r="J59" s="91"/>
      <c r="K59" s="274"/>
      <c r="L59" s="91"/>
      <c r="M59" s="91"/>
      <c r="N59" s="103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</row>
    <row r="60" spans="1:28">
      <c r="A60" s="90"/>
      <c r="B60" s="91"/>
      <c r="C60" s="91"/>
      <c r="D60" s="91"/>
      <c r="E60" s="91"/>
      <c r="F60" s="91"/>
      <c r="G60" s="91"/>
      <c r="H60" s="91"/>
      <c r="I60" s="91"/>
      <c r="J60" s="91"/>
      <c r="K60" s="274"/>
      <c r="L60" s="91"/>
      <c r="M60" s="91"/>
      <c r="N60" s="103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</row>
    <row r="61" spans="1:28">
      <c r="A61" s="90"/>
      <c r="B61" s="91"/>
      <c r="C61" s="91"/>
      <c r="D61" s="91"/>
      <c r="E61" s="91"/>
      <c r="F61" s="91"/>
      <c r="G61" s="91"/>
      <c r="H61" s="91"/>
      <c r="I61" s="91"/>
      <c r="J61" s="91"/>
      <c r="K61" s="274"/>
      <c r="L61" s="91"/>
      <c r="M61" s="91"/>
      <c r="N61" s="103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</row>
    <row r="62" spans="1:28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275"/>
      <c r="L62" s="91"/>
      <c r="M62" s="91"/>
      <c r="N62" s="103"/>
      <c r="O62" s="91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0"/>
      <c r="AA62" s="90"/>
      <c r="AB62" s="91"/>
    </row>
    <row r="63" spans="1:28">
      <c r="A63" s="90"/>
      <c r="B63" s="90"/>
      <c r="C63" s="90"/>
      <c r="D63" s="90"/>
      <c r="E63" s="90"/>
      <c r="F63" s="90"/>
      <c r="G63" s="90"/>
      <c r="H63" s="90"/>
      <c r="I63" s="90"/>
      <c r="J63" s="90"/>
      <c r="K63" s="275"/>
      <c r="L63" s="91"/>
      <c r="M63" s="91"/>
      <c r="N63" s="103"/>
      <c r="O63" s="91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0"/>
      <c r="AA63" s="90"/>
      <c r="AB63" s="91"/>
    </row>
    <row r="64" spans="1:28">
      <c r="A64" s="90"/>
      <c r="N64" s="41"/>
    </row>
    <row r="65" spans="14:14">
      <c r="N65" s="41"/>
    </row>
    <row r="66" spans="14:14">
      <c r="N66" s="41"/>
    </row>
    <row r="67" spans="14:14">
      <c r="N67" s="41"/>
    </row>
    <row r="68" spans="14:14">
      <c r="N68" s="41"/>
    </row>
    <row r="69" spans="14:14">
      <c r="N69" s="41"/>
    </row>
    <row r="70" spans="14:14">
      <c r="N70" s="41"/>
    </row>
    <row r="71" spans="14:14">
      <c r="N71" s="41"/>
    </row>
    <row r="72" spans="14:14">
      <c r="N72" s="41"/>
    </row>
    <row r="73" spans="14:14">
      <c r="N73" s="41"/>
    </row>
    <row r="74" spans="14:14">
      <c r="N74" s="41"/>
    </row>
    <row r="75" spans="14:14">
      <c r="N75" s="41"/>
    </row>
    <row r="76" spans="14:14">
      <c r="N76" s="41"/>
    </row>
    <row r="77" spans="14:14">
      <c r="N77" s="41"/>
    </row>
    <row r="78" spans="14:14">
      <c r="N78" s="41"/>
    </row>
    <row r="79" spans="14:14">
      <c r="N79" s="41"/>
    </row>
    <row r="80" spans="14:14">
      <c r="N80" s="41"/>
    </row>
    <row r="81" spans="14:14">
      <c r="N81" s="41"/>
    </row>
    <row r="82" spans="14:14">
      <c r="N82" s="41"/>
    </row>
    <row r="83" spans="14:14">
      <c r="N83" s="41"/>
    </row>
    <row r="84" spans="14:14">
      <c r="N84" s="41"/>
    </row>
    <row r="85" spans="14:14">
      <c r="N85" s="41"/>
    </row>
    <row r="86" spans="14:14">
      <c r="N86" s="41"/>
    </row>
    <row r="87" spans="14:14">
      <c r="N87" s="41"/>
    </row>
    <row r="88" spans="14:14">
      <c r="N88" s="41"/>
    </row>
    <row r="89" spans="14:14">
      <c r="N89" s="41"/>
    </row>
    <row r="90" spans="14:14">
      <c r="N90" s="41"/>
    </row>
    <row r="91" spans="14:14">
      <c r="N91" s="41"/>
    </row>
    <row r="92" spans="14:14">
      <c r="N92" s="41"/>
    </row>
    <row r="93" spans="14:14">
      <c r="N93" s="41"/>
    </row>
    <row r="94" spans="14:14">
      <c r="N94" s="41"/>
    </row>
    <row r="95" spans="14:14">
      <c r="N95" s="41"/>
    </row>
    <row r="96" spans="14:14">
      <c r="N96" s="41"/>
    </row>
    <row r="97" spans="14:14">
      <c r="N97" s="41"/>
    </row>
  </sheetData>
  <phoneticPr fontId="24" type="noConversion"/>
  <pageMargins left="0.75" right="0.75" top="1" bottom="1" header="0.5" footer="0.5"/>
  <pageSetup scale="77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16"/>
  <sheetViews>
    <sheetView workbookViewId="0"/>
  </sheetViews>
  <sheetFormatPr defaultColWidth="8.88671875" defaultRowHeight="13.2"/>
  <cols>
    <col min="1" max="1" width="41.21875" customWidth="1"/>
    <col min="2" max="2" width="17.6640625" bestFit="1" customWidth="1"/>
    <col min="3" max="3" width="14.6640625" style="162" customWidth="1"/>
    <col min="4" max="4" width="8.88671875" style="3"/>
  </cols>
  <sheetData>
    <row r="1" spans="1:5" ht="17.399999999999999">
      <c r="A1" s="7" t="s">
        <v>183</v>
      </c>
      <c r="B1" s="6"/>
      <c r="C1" s="239"/>
      <c r="D1" s="18"/>
      <c r="E1" s="6"/>
    </row>
    <row r="2" spans="1:5">
      <c r="A2" s="202"/>
      <c r="B2" s="10"/>
      <c r="C2" s="239"/>
      <c r="D2" s="254"/>
      <c r="E2" s="6"/>
    </row>
    <row r="3" spans="1:5">
      <c r="A3" s="12"/>
      <c r="B3" s="15" t="s">
        <v>17</v>
      </c>
      <c r="C3" s="54" t="s">
        <v>14</v>
      </c>
      <c r="D3" s="254"/>
      <c r="E3" s="254"/>
    </row>
    <row r="4" spans="1:5" ht="14.4">
      <c r="A4" s="422" t="s">
        <v>186</v>
      </c>
      <c r="B4" s="450" t="s">
        <v>241</v>
      </c>
      <c r="C4" s="54">
        <f>IF(B4="fail",0,50)</f>
        <v>50</v>
      </c>
      <c r="D4" s="254"/>
      <c r="E4" s="6"/>
    </row>
    <row r="5" spans="1:5" ht="14.4">
      <c r="A5" s="422" t="s">
        <v>187</v>
      </c>
      <c r="B5" s="450" t="s">
        <v>242</v>
      </c>
      <c r="C5" s="54">
        <f t="shared" ref="C5:C16" si="0">IF(B5="fail",0,50)</f>
        <v>0</v>
      </c>
      <c r="D5" s="254"/>
      <c r="E5" s="6"/>
    </row>
    <row r="6" spans="1:5" ht="14.4">
      <c r="A6" s="423" t="s">
        <v>188</v>
      </c>
      <c r="B6" s="450" t="s">
        <v>241</v>
      </c>
      <c r="C6" s="54">
        <f t="shared" si="0"/>
        <v>50</v>
      </c>
      <c r="D6" s="254"/>
      <c r="E6" s="6"/>
    </row>
    <row r="7" spans="1:5" s="199" customFormat="1" ht="14.4">
      <c r="A7" s="422" t="s">
        <v>189</v>
      </c>
      <c r="B7" s="450" t="s">
        <v>241</v>
      </c>
      <c r="C7" s="54">
        <f t="shared" si="0"/>
        <v>50</v>
      </c>
      <c r="D7" s="224"/>
      <c r="E7" s="202"/>
    </row>
    <row r="8" spans="1:5" s="246" customFormat="1" ht="14.4">
      <c r="A8" s="424" t="s">
        <v>190</v>
      </c>
      <c r="B8" s="450" t="s">
        <v>241</v>
      </c>
      <c r="C8" s="54">
        <f t="shared" si="0"/>
        <v>50</v>
      </c>
      <c r="D8" s="224"/>
      <c r="E8" s="245"/>
    </row>
    <row r="9" spans="1:5" ht="14.4">
      <c r="A9" s="422" t="s">
        <v>191</v>
      </c>
      <c r="B9" s="450" t="s">
        <v>241</v>
      </c>
      <c r="C9" s="54">
        <f t="shared" si="0"/>
        <v>50</v>
      </c>
      <c r="D9" s="18"/>
      <c r="E9" s="6"/>
    </row>
    <row r="10" spans="1:5" ht="14.4">
      <c r="A10" s="422" t="s">
        <v>192</v>
      </c>
      <c r="B10" s="450" t="s">
        <v>241</v>
      </c>
      <c r="C10" s="54">
        <f t="shared" si="0"/>
        <v>50</v>
      </c>
      <c r="D10" s="18"/>
      <c r="E10" s="6"/>
    </row>
    <row r="11" spans="1:5" ht="14.4">
      <c r="A11" s="422" t="s">
        <v>193</v>
      </c>
      <c r="B11" s="450" t="s">
        <v>241</v>
      </c>
      <c r="C11" s="54">
        <f t="shared" si="0"/>
        <v>50</v>
      </c>
      <c r="D11" s="18"/>
      <c r="E11" s="6"/>
    </row>
    <row r="12" spans="1:5" ht="14.4">
      <c r="A12" s="422" t="s">
        <v>194</v>
      </c>
      <c r="B12" s="450" t="s">
        <v>241</v>
      </c>
      <c r="C12" s="54">
        <f t="shared" si="0"/>
        <v>50</v>
      </c>
      <c r="D12" s="18"/>
      <c r="E12" s="6"/>
    </row>
    <row r="13" spans="1:5" s="137" customFormat="1" ht="14.4">
      <c r="A13" s="422" t="s">
        <v>195</v>
      </c>
      <c r="B13" s="450" t="s">
        <v>242</v>
      </c>
      <c r="C13" s="54">
        <f t="shared" si="0"/>
        <v>0</v>
      </c>
      <c r="D13" s="138"/>
      <c r="E13" s="130"/>
    </row>
    <row r="14" spans="1:5" s="137" customFormat="1" ht="14.4">
      <c r="A14" s="422" t="s">
        <v>196</v>
      </c>
      <c r="B14" s="450" t="s">
        <v>242</v>
      </c>
      <c r="C14" s="54">
        <f t="shared" si="0"/>
        <v>0</v>
      </c>
      <c r="D14" s="467"/>
      <c r="E14" s="130"/>
    </row>
    <row r="15" spans="1:5" s="137" customFormat="1" ht="14.4">
      <c r="A15" s="422" t="s">
        <v>197</v>
      </c>
      <c r="B15" s="450" t="s">
        <v>241</v>
      </c>
      <c r="C15" s="54">
        <f t="shared" si="0"/>
        <v>50</v>
      </c>
      <c r="D15" s="138"/>
      <c r="E15" s="130"/>
    </row>
    <row r="16" spans="1:5" ht="14.4">
      <c r="A16" s="422" t="s">
        <v>198</v>
      </c>
      <c r="B16" s="450" t="s">
        <v>242</v>
      </c>
      <c r="C16" s="54">
        <f t="shared" si="0"/>
        <v>0</v>
      </c>
    </row>
  </sheetData>
  <phoneticPr fontId="24" type="noConversion"/>
  <printOptions gridLines="1"/>
  <pageMargins left="0.75" right="0.75" top="1" bottom="1" header="0.5" footer="0.5"/>
  <pageSetup orientation="landscape" horizontalDpi="4294967294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L23"/>
  <sheetViews>
    <sheetView workbookViewId="0"/>
  </sheetViews>
  <sheetFormatPr defaultColWidth="8.88671875" defaultRowHeight="13.2"/>
  <cols>
    <col min="1" max="1" width="37.88671875" customWidth="1"/>
    <col min="2" max="2" width="10" customWidth="1"/>
    <col min="3" max="3" width="10.33203125" customWidth="1"/>
    <col min="4" max="4" width="13.44140625" customWidth="1"/>
    <col min="5" max="5" width="10.109375" customWidth="1"/>
    <col min="6" max="6" width="10" customWidth="1"/>
    <col min="7" max="7" width="11" customWidth="1"/>
    <col min="8" max="8" width="48" customWidth="1"/>
    <col min="9" max="10" width="10" customWidth="1"/>
  </cols>
  <sheetData>
    <row r="1" spans="1:12" ht="69.599999999999994">
      <c r="A1" s="513" t="s">
        <v>184</v>
      </c>
      <c r="B1" s="6"/>
      <c r="C1" s="6"/>
      <c r="D1" s="6"/>
      <c r="E1" s="6"/>
      <c r="F1" s="6"/>
      <c r="G1" s="6"/>
      <c r="H1" s="6"/>
      <c r="I1" s="9"/>
      <c r="J1" s="6"/>
      <c r="K1" s="6"/>
      <c r="L1" s="6"/>
    </row>
    <row r="2" spans="1:12">
      <c r="A2" s="37"/>
      <c r="B2" s="6"/>
      <c r="D2" s="9" t="s">
        <v>34</v>
      </c>
      <c r="E2" s="66">
        <f>MAX(D6:D18)</f>
        <v>74.959999999999994</v>
      </c>
      <c r="F2" s="6" t="s">
        <v>16</v>
      </c>
      <c r="G2" s="6">
        <v>2.5</v>
      </c>
      <c r="H2" s="239" t="s">
        <v>264</v>
      </c>
      <c r="I2" s="9"/>
      <c r="J2" s="6"/>
      <c r="K2" s="6"/>
      <c r="L2" s="6"/>
    </row>
    <row r="3" spans="1:12">
      <c r="A3" s="198"/>
      <c r="B3" s="6"/>
      <c r="D3" s="9" t="s">
        <v>35</v>
      </c>
      <c r="E3" s="66">
        <f>MIN(D6:D18)</f>
        <v>53.615000000000002</v>
      </c>
      <c r="F3" s="6" t="s">
        <v>16</v>
      </c>
      <c r="G3" s="6">
        <v>75</v>
      </c>
      <c r="H3" s="239" t="s">
        <v>265</v>
      </c>
      <c r="I3" s="9"/>
      <c r="J3" s="6"/>
      <c r="K3" s="6"/>
      <c r="L3" s="6"/>
    </row>
    <row r="4" spans="1:12">
      <c r="A4" s="16"/>
      <c r="B4" s="16"/>
      <c r="C4" s="16"/>
      <c r="D4" s="16"/>
      <c r="E4" s="6"/>
      <c r="F4" s="16"/>
      <c r="G4" s="16"/>
      <c r="H4" s="16"/>
      <c r="I4" s="24"/>
      <c r="J4" s="6"/>
      <c r="K4" s="6"/>
      <c r="L4" s="6"/>
    </row>
    <row r="5" spans="1:12" ht="30.75" customHeight="1" thickBot="1">
      <c r="A5" s="74"/>
      <c r="B5" s="38" t="s">
        <v>163</v>
      </c>
      <c r="C5" s="38" t="s">
        <v>164</v>
      </c>
      <c r="D5" s="38" t="s">
        <v>33</v>
      </c>
      <c r="E5" s="38" t="s">
        <v>9</v>
      </c>
      <c r="F5" s="23" t="s">
        <v>27</v>
      </c>
      <c r="G5" s="23"/>
      <c r="H5" s="406" t="s">
        <v>80</v>
      </c>
      <c r="I5" s="14"/>
      <c r="J5" s="13"/>
      <c r="K5" s="5"/>
      <c r="L5" s="6"/>
    </row>
    <row r="6" spans="1:12" ht="14.4">
      <c r="A6" s="422" t="s">
        <v>186</v>
      </c>
      <c r="B6" s="478">
        <v>59</v>
      </c>
      <c r="C6" s="480">
        <v>59.335000000000001</v>
      </c>
      <c r="D6" s="335">
        <f>MIN(B6:C6)</f>
        <v>59</v>
      </c>
      <c r="E6" s="56">
        <f>-$E$22*D6+$E$23</f>
        <v>56.078706957132795</v>
      </c>
      <c r="F6" s="129">
        <f>RANK(E6,$E$6:$E$18)</f>
        <v>5</v>
      </c>
      <c r="G6" s="51"/>
      <c r="H6" s="483" t="s">
        <v>252</v>
      </c>
      <c r="I6" s="26"/>
      <c r="J6" s="27"/>
      <c r="K6" s="18"/>
      <c r="L6" s="6"/>
    </row>
    <row r="7" spans="1:12" ht="14.4">
      <c r="A7" s="422" t="s">
        <v>187</v>
      </c>
      <c r="B7" s="477"/>
      <c r="C7" s="481"/>
      <c r="D7" s="470"/>
      <c r="E7" s="56">
        <v>0</v>
      </c>
      <c r="F7" s="450" t="s">
        <v>44</v>
      </c>
      <c r="G7" s="73"/>
      <c r="H7" s="484" t="s">
        <v>253</v>
      </c>
      <c r="I7" s="26"/>
      <c r="J7" s="27"/>
      <c r="K7" s="18"/>
      <c r="L7" s="6"/>
    </row>
    <row r="8" spans="1:12" ht="14.4">
      <c r="A8" s="423" t="s">
        <v>188</v>
      </c>
      <c r="B8" s="477">
        <v>62.74</v>
      </c>
      <c r="C8" s="481">
        <v>57.45</v>
      </c>
      <c r="D8" s="335">
        <f t="shared" ref="D8:D17" si="0">MIN(B8:C8)</f>
        <v>57.45</v>
      </c>
      <c r="E8" s="56">
        <f t="shared" ref="E8:E16" si="1">-$E$22*D8+$E$23</f>
        <v>61.52494729444831</v>
      </c>
      <c r="F8" s="129">
        <f t="shared" ref="F8:F16" si="2">RANK(E8,$E$6:$E$18)</f>
        <v>3</v>
      </c>
      <c r="G8" s="51"/>
      <c r="H8" s="483" t="s">
        <v>254</v>
      </c>
      <c r="I8" s="26"/>
      <c r="J8" s="27"/>
      <c r="K8" s="18"/>
      <c r="L8" s="6"/>
    </row>
    <row r="9" spans="1:12" s="199" customFormat="1" ht="14.4">
      <c r="A9" s="422" t="s">
        <v>189</v>
      </c>
      <c r="B9" s="477">
        <v>67.400000000000006</v>
      </c>
      <c r="C9" s="481">
        <v>62.5</v>
      </c>
      <c r="D9" s="335">
        <f t="shared" si="0"/>
        <v>62.5</v>
      </c>
      <c r="E9" s="56">
        <f t="shared" ref="E9:E14" si="3">-$E$22*D9+$E$23</f>
        <v>43.780744905129978</v>
      </c>
      <c r="F9" s="129">
        <f t="shared" ref="F9:F14" si="4">RANK(E9,$E$6:$E$18)</f>
        <v>7</v>
      </c>
      <c r="G9" s="225"/>
      <c r="H9" s="483" t="s">
        <v>255</v>
      </c>
      <c r="I9" s="233"/>
      <c r="J9" s="197"/>
      <c r="K9" s="224"/>
      <c r="L9" s="202"/>
    </row>
    <row r="10" spans="1:12" s="199" customFormat="1" ht="14.4">
      <c r="A10" s="424" t="s">
        <v>190</v>
      </c>
      <c r="B10" s="477">
        <v>59.75</v>
      </c>
      <c r="C10" s="481">
        <v>58.15</v>
      </c>
      <c r="D10" s="335">
        <f t="shared" si="0"/>
        <v>58.15</v>
      </c>
      <c r="E10" s="56">
        <f t="shared" si="3"/>
        <v>59.065354884047764</v>
      </c>
      <c r="F10" s="129">
        <f t="shared" si="4"/>
        <v>4</v>
      </c>
      <c r="G10" s="225"/>
      <c r="H10" s="483" t="s">
        <v>256</v>
      </c>
      <c r="I10" s="233"/>
      <c r="J10" s="197"/>
      <c r="K10" s="224"/>
      <c r="L10" s="202"/>
    </row>
    <row r="11" spans="1:12" ht="14.4">
      <c r="A11" s="422" t="s">
        <v>191</v>
      </c>
      <c r="B11" s="477">
        <v>63.314999999999998</v>
      </c>
      <c r="C11" s="481">
        <v>68.364999999999995</v>
      </c>
      <c r="D11" s="335">
        <f t="shared" si="0"/>
        <v>63.314999999999998</v>
      </c>
      <c r="E11" s="56">
        <f t="shared" si="3"/>
        <v>40.917076598735036</v>
      </c>
      <c r="F11" s="129">
        <f t="shared" si="4"/>
        <v>8</v>
      </c>
      <c r="G11" s="51"/>
      <c r="H11" s="483" t="s">
        <v>257</v>
      </c>
      <c r="I11" s="26"/>
      <c r="J11" s="27"/>
      <c r="K11" s="18"/>
      <c r="L11" s="6"/>
    </row>
    <row r="12" spans="1:12" ht="14.4">
      <c r="A12" s="422" t="s">
        <v>192</v>
      </c>
      <c r="B12" s="477">
        <v>53.615000000000002</v>
      </c>
      <c r="C12" s="481">
        <v>56.784999999999997</v>
      </c>
      <c r="D12" s="335">
        <f t="shared" si="0"/>
        <v>53.615000000000002</v>
      </c>
      <c r="E12" s="56">
        <f t="shared" si="3"/>
        <v>74.999999999999972</v>
      </c>
      <c r="F12" s="129">
        <f t="shared" si="4"/>
        <v>1</v>
      </c>
      <c r="G12" s="51"/>
      <c r="H12" s="483" t="s">
        <v>258</v>
      </c>
      <c r="I12" s="26"/>
      <c r="J12" s="27"/>
      <c r="K12" s="18"/>
      <c r="L12" s="6"/>
    </row>
    <row r="13" spans="1:12" ht="14.4">
      <c r="A13" s="422" t="s">
        <v>193</v>
      </c>
      <c r="B13" s="477">
        <v>66</v>
      </c>
      <c r="C13" s="481">
        <v>64.204999999999998</v>
      </c>
      <c r="D13" s="335">
        <f t="shared" si="0"/>
        <v>64.204999999999998</v>
      </c>
      <c r="E13" s="56">
        <f t="shared" si="3"/>
        <v>37.789880534082897</v>
      </c>
      <c r="F13" s="129">
        <f t="shared" si="4"/>
        <v>9</v>
      </c>
      <c r="G13" s="51"/>
      <c r="H13" s="483" t="s">
        <v>259</v>
      </c>
      <c r="I13" s="26"/>
      <c r="J13" s="27"/>
      <c r="K13" s="18"/>
      <c r="L13" s="6"/>
    </row>
    <row r="14" spans="1:12" ht="14.25" customHeight="1">
      <c r="A14" s="422" t="s">
        <v>194</v>
      </c>
      <c r="B14" s="477">
        <v>61.45</v>
      </c>
      <c r="C14" s="481">
        <v>62.15</v>
      </c>
      <c r="D14" s="335">
        <f t="shared" si="0"/>
        <v>61.45</v>
      </c>
      <c r="E14" s="56">
        <f t="shared" si="3"/>
        <v>47.470133520730826</v>
      </c>
      <c r="F14" s="129">
        <f t="shared" si="4"/>
        <v>6</v>
      </c>
      <c r="G14" s="51"/>
      <c r="H14" s="484" t="s">
        <v>260</v>
      </c>
      <c r="I14" s="26"/>
      <c r="J14" s="27"/>
      <c r="K14" s="18"/>
      <c r="L14" s="6"/>
    </row>
    <row r="15" spans="1:12" ht="14.4">
      <c r="A15" s="422" t="s">
        <v>195</v>
      </c>
      <c r="B15" s="477"/>
      <c r="C15" s="481"/>
      <c r="D15" s="470" t="s">
        <v>44</v>
      </c>
      <c r="E15" s="56">
        <v>0</v>
      </c>
      <c r="F15" s="450" t="s">
        <v>44</v>
      </c>
      <c r="G15" s="51"/>
      <c r="H15" s="484" t="s">
        <v>261</v>
      </c>
      <c r="I15" s="26"/>
      <c r="J15" s="27"/>
      <c r="K15" s="18"/>
      <c r="L15" s="6"/>
    </row>
    <row r="16" spans="1:12" ht="14.4">
      <c r="A16" s="422" t="s">
        <v>196</v>
      </c>
      <c r="B16" s="477">
        <v>65.17</v>
      </c>
      <c r="C16" s="481">
        <v>56.765000000000001</v>
      </c>
      <c r="D16" s="335">
        <f t="shared" si="0"/>
        <v>56.765000000000001</v>
      </c>
      <c r="E16" s="56">
        <f t="shared" si="1"/>
        <v>63.931834153197457</v>
      </c>
      <c r="F16" s="129">
        <f t="shared" si="2"/>
        <v>2</v>
      </c>
      <c r="G16" s="51"/>
      <c r="H16" s="484" t="s">
        <v>262</v>
      </c>
      <c r="I16" s="26"/>
      <c r="J16" s="27"/>
      <c r="K16" s="18"/>
      <c r="L16" s="6"/>
    </row>
    <row r="17" spans="1:12" s="137" customFormat="1" ht="15" thickBot="1">
      <c r="A17" s="422" t="s">
        <v>197</v>
      </c>
      <c r="B17" s="479">
        <v>74.959999999999994</v>
      </c>
      <c r="C17" s="482">
        <v>80.92</v>
      </c>
      <c r="D17" s="335">
        <f t="shared" si="0"/>
        <v>74.959999999999994</v>
      </c>
      <c r="E17" s="56">
        <v>2.5</v>
      </c>
      <c r="F17" s="129">
        <f t="shared" ref="F17" si="5">RANK(E17,$E$6:$E$18)</f>
        <v>10</v>
      </c>
      <c r="G17" s="142"/>
      <c r="H17" s="483" t="s">
        <v>263</v>
      </c>
      <c r="I17" s="149"/>
      <c r="J17" s="150"/>
      <c r="K17" s="138"/>
      <c r="L17" s="130"/>
    </row>
    <row r="18" spans="1:12" ht="15" thickBot="1">
      <c r="A18" s="422" t="s">
        <v>198</v>
      </c>
      <c r="B18" s="469"/>
      <c r="C18" s="420"/>
      <c r="D18" s="470" t="s">
        <v>44</v>
      </c>
      <c r="E18" s="56">
        <v>0</v>
      </c>
      <c r="F18" s="450" t="s">
        <v>44</v>
      </c>
      <c r="G18" s="6"/>
      <c r="H18" s="483" t="s">
        <v>261</v>
      </c>
      <c r="I18" s="6"/>
      <c r="J18" s="6"/>
      <c r="K18" s="6"/>
      <c r="L18" s="6"/>
    </row>
    <row r="19" spans="1:12">
      <c r="B19" s="133"/>
    </row>
    <row r="21" spans="1:12">
      <c r="D21" s="300" t="s">
        <v>136</v>
      </c>
      <c r="E21" s="300"/>
    </row>
    <row r="22" spans="1:12">
      <c r="D22" s="300" t="s">
        <v>133</v>
      </c>
      <c r="E22" s="308">
        <f>75/(E2-E3)</f>
        <v>3.5137034434293759</v>
      </c>
    </row>
    <row r="23" spans="1:12">
      <c r="D23" s="300" t="s">
        <v>134</v>
      </c>
      <c r="E23" s="249">
        <f>E22*E2</f>
        <v>263.38721011946598</v>
      </c>
    </row>
  </sheetData>
  <phoneticPr fontId="24" type="noConversion"/>
  <printOptions gridLines="1"/>
  <pageMargins left="0.75" right="0.75" top="1" bottom="1" header="0.5" footer="0.5"/>
  <pageSetup scale="82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M29"/>
  <sheetViews>
    <sheetView zoomScaleNormal="100" zoomScalePageLayoutView="12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14" sqref="D14"/>
    </sheetView>
  </sheetViews>
  <sheetFormatPr defaultColWidth="8.88671875" defaultRowHeight="13.2"/>
  <cols>
    <col min="1" max="1" width="40" customWidth="1"/>
    <col min="2" max="2" width="12.44140625" customWidth="1"/>
    <col min="3" max="3" width="12.6640625" style="3" customWidth="1"/>
    <col min="4" max="4" width="12.33203125" style="3" customWidth="1"/>
    <col min="5" max="5" width="14" style="3" customWidth="1"/>
    <col min="6" max="6" width="10.6640625" style="3" customWidth="1"/>
    <col min="7" max="7" width="9.88671875" style="3" customWidth="1"/>
    <col min="8" max="8" width="15.6640625" style="301" customWidth="1"/>
    <col min="9" max="9" width="13.44140625" style="3" customWidth="1"/>
    <col min="10" max="10" width="5.44140625" style="162" bestFit="1" customWidth="1"/>
    <col min="11" max="11" width="26.77734375" customWidth="1"/>
  </cols>
  <sheetData>
    <row r="1" spans="1:13" ht="17.399999999999999">
      <c r="A1" s="532" t="s">
        <v>201</v>
      </c>
      <c r="B1" s="532"/>
      <c r="C1" s="18"/>
      <c r="D1" s="18"/>
      <c r="E1" s="18"/>
      <c r="F1" s="18"/>
      <c r="G1" s="18"/>
      <c r="H1" s="254"/>
      <c r="I1" s="18"/>
      <c r="J1" s="239"/>
      <c r="K1" s="6"/>
    </row>
    <row r="2" spans="1:13">
      <c r="A2" s="24"/>
      <c r="B2" s="24"/>
      <c r="C2" s="51"/>
      <c r="D2" s="51"/>
      <c r="E2" s="51"/>
      <c r="F2" s="51"/>
      <c r="G2" s="51"/>
      <c r="H2" s="253"/>
      <c r="I2" s="51"/>
      <c r="J2" s="239"/>
      <c r="K2" s="6"/>
    </row>
    <row r="3" spans="1:13" s="152" customFormat="1" ht="39.6">
      <c r="A3" s="436"/>
      <c r="B3" s="38" t="s">
        <v>39</v>
      </c>
      <c r="C3" s="38" t="s">
        <v>7</v>
      </c>
      <c r="D3" s="38" t="s">
        <v>59</v>
      </c>
      <c r="E3" s="38" t="s">
        <v>51</v>
      </c>
      <c r="F3" s="38" t="s">
        <v>81</v>
      </c>
      <c r="G3" s="38" t="s">
        <v>8</v>
      </c>
      <c r="H3" s="219" t="s">
        <v>60</v>
      </c>
      <c r="I3" s="38" t="s">
        <v>61</v>
      </c>
      <c r="J3" s="35" t="s">
        <v>58</v>
      </c>
      <c r="K3" s="38" t="s">
        <v>48</v>
      </c>
    </row>
    <row r="4" spans="1:13" s="356" customFormat="1" ht="14.4">
      <c r="A4" s="422" t="s">
        <v>186</v>
      </c>
      <c r="B4" s="282"/>
      <c r="C4" s="415"/>
      <c r="D4" s="415"/>
      <c r="E4" s="282"/>
      <c r="F4" s="282"/>
      <c r="G4" s="282"/>
      <c r="H4" s="282"/>
      <c r="I4" s="352"/>
      <c r="J4" s="353">
        <f t="shared" ref="J4:J16" si="0">SUM(B4:I4)</f>
        <v>0</v>
      </c>
      <c r="K4" s="354"/>
    </row>
    <row r="5" spans="1:13" s="356" customFormat="1" ht="14.4">
      <c r="A5" s="422" t="s">
        <v>187</v>
      </c>
      <c r="B5" s="282"/>
      <c r="C5" s="415"/>
      <c r="D5" s="415"/>
      <c r="E5" s="282"/>
      <c r="F5" s="282">
        <v>-40</v>
      </c>
      <c r="G5" s="282"/>
      <c r="H5" s="282"/>
      <c r="I5" s="282"/>
      <c r="J5" s="353">
        <f t="shared" si="0"/>
        <v>-40</v>
      </c>
      <c r="K5" s="354"/>
    </row>
    <row r="6" spans="1:13" s="356" customFormat="1" ht="14.4">
      <c r="A6" s="423" t="s">
        <v>188</v>
      </c>
      <c r="B6" s="282"/>
      <c r="C6" s="415">
        <v>-10</v>
      </c>
      <c r="D6" s="415" t="s">
        <v>44</v>
      </c>
      <c r="E6" s="282"/>
      <c r="F6" s="282"/>
      <c r="G6" s="282"/>
      <c r="H6" s="282">
        <v>100</v>
      </c>
      <c r="I6" s="352"/>
      <c r="J6" s="353">
        <f t="shared" si="0"/>
        <v>90</v>
      </c>
      <c r="K6" s="354"/>
    </row>
    <row r="7" spans="1:13" s="355" customFormat="1" ht="41.4">
      <c r="A7" s="422" t="s">
        <v>189</v>
      </c>
      <c r="B7" s="282"/>
      <c r="C7" s="415"/>
      <c r="D7" s="415"/>
      <c r="E7" s="282"/>
      <c r="F7" s="282">
        <v>-40</v>
      </c>
      <c r="G7" s="282">
        <v>-25</v>
      </c>
      <c r="H7" s="282"/>
      <c r="I7" s="352"/>
      <c r="J7" s="353">
        <f t="shared" si="0"/>
        <v>-65</v>
      </c>
      <c r="K7" s="514" t="s">
        <v>279</v>
      </c>
    </row>
    <row r="8" spans="1:13" s="355" customFormat="1" ht="14.4">
      <c r="A8" s="424" t="s">
        <v>190</v>
      </c>
      <c r="B8" s="282"/>
      <c r="C8" s="415"/>
      <c r="D8" s="415"/>
      <c r="E8" s="282"/>
      <c r="F8" s="282"/>
      <c r="G8" s="282"/>
      <c r="H8" s="282"/>
      <c r="I8" s="282"/>
      <c r="J8" s="353">
        <f t="shared" si="0"/>
        <v>0</v>
      </c>
      <c r="K8" s="354"/>
      <c r="M8" s="356"/>
    </row>
    <row r="9" spans="1:13" s="356" customFormat="1" ht="14.4">
      <c r="A9" s="422" t="s">
        <v>191</v>
      </c>
      <c r="B9" s="282"/>
      <c r="C9" s="415"/>
      <c r="D9" s="415"/>
      <c r="E9" s="282"/>
      <c r="F9" s="282"/>
      <c r="G9" s="282"/>
      <c r="H9" s="282"/>
      <c r="I9" s="282"/>
      <c r="J9" s="353">
        <f t="shared" si="0"/>
        <v>0</v>
      </c>
      <c r="K9" s="354"/>
    </row>
    <row r="10" spans="1:13" s="356" customFormat="1" ht="14.4">
      <c r="A10" s="422" t="s">
        <v>192</v>
      </c>
      <c r="B10" s="282"/>
      <c r="C10" s="282"/>
      <c r="D10" s="415"/>
      <c r="E10" s="282"/>
      <c r="F10" s="282"/>
      <c r="G10" s="282"/>
      <c r="H10" s="282">
        <v>100</v>
      </c>
      <c r="I10" s="282"/>
      <c r="J10" s="353">
        <f t="shared" si="0"/>
        <v>100</v>
      </c>
      <c r="K10" s="354"/>
    </row>
    <row r="11" spans="1:13" s="356" customFormat="1" ht="14.4">
      <c r="A11" s="422" t="s">
        <v>193</v>
      </c>
      <c r="B11" s="282"/>
      <c r="C11" s="415"/>
      <c r="D11" s="415"/>
      <c r="E11" s="282"/>
      <c r="F11" s="282"/>
      <c r="G11" s="282"/>
      <c r="H11" s="282"/>
      <c r="I11" s="352"/>
      <c r="J11" s="353">
        <f t="shared" si="0"/>
        <v>0</v>
      </c>
      <c r="K11" s="354"/>
    </row>
    <row r="12" spans="1:13" s="356" customFormat="1" ht="14.4">
      <c r="A12" s="422" t="s">
        <v>194</v>
      </c>
      <c r="B12" s="282"/>
      <c r="C12" s="415"/>
      <c r="D12" s="415"/>
      <c r="E12" s="282"/>
      <c r="F12" s="282"/>
      <c r="G12" s="282"/>
      <c r="H12" s="282">
        <v>100</v>
      </c>
      <c r="I12" s="352"/>
      <c r="J12" s="353">
        <f t="shared" si="0"/>
        <v>100</v>
      </c>
      <c r="K12" s="354"/>
    </row>
    <row r="13" spans="1:13" s="356" customFormat="1" ht="14.4">
      <c r="A13" s="422" t="s">
        <v>195</v>
      </c>
      <c r="B13" s="282"/>
      <c r="C13" s="415"/>
      <c r="D13" s="415"/>
      <c r="E13" s="282"/>
      <c r="F13" s="282">
        <v>-40</v>
      </c>
      <c r="G13" s="282"/>
      <c r="H13" s="282"/>
      <c r="I13" s="352"/>
      <c r="J13" s="353">
        <f t="shared" si="0"/>
        <v>-40</v>
      </c>
      <c r="K13" s="354"/>
    </row>
    <row r="14" spans="1:13" s="356" customFormat="1" ht="14.4">
      <c r="A14" s="422" t="s">
        <v>196</v>
      </c>
      <c r="B14" s="282"/>
      <c r="C14" s="282">
        <v>0</v>
      </c>
      <c r="D14" s="415"/>
      <c r="E14" s="282"/>
      <c r="F14" s="282"/>
      <c r="G14" s="282"/>
      <c r="H14" s="282"/>
      <c r="I14" s="352"/>
      <c r="J14" s="353">
        <f t="shared" si="0"/>
        <v>0</v>
      </c>
      <c r="K14" s="380"/>
    </row>
    <row r="15" spans="1:13" s="357" customFormat="1" ht="14.4">
      <c r="A15" s="422" t="s">
        <v>197</v>
      </c>
      <c r="B15" s="282"/>
      <c r="C15" s="282"/>
      <c r="D15" s="282"/>
      <c r="E15" s="282"/>
      <c r="F15" s="282">
        <v>-30</v>
      </c>
      <c r="G15" s="282"/>
      <c r="H15" s="282"/>
      <c r="I15" s="282"/>
      <c r="J15" s="353">
        <f t="shared" si="0"/>
        <v>-30</v>
      </c>
      <c r="K15" s="354"/>
    </row>
    <row r="16" spans="1:13" s="356" customFormat="1" ht="14.4">
      <c r="A16" s="422" t="s">
        <v>198</v>
      </c>
      <c r="B16" s="282"/>
      <c r="C16" s="416">
        <v>-10</v>
      </c>
      <c r="D16" s="415">
        <v>-20</v>
      </c>
      <c r="E16" s="282"/>
      <c r="F16" s="282"/>
      <c r="G16" s="282"/>
      <c r="H16" s="282">
        <v>100</v>
      </c>
      <c r="I16" s="352"/>
      <c r="J16" s="353">
        <f t="shared" si="0"/>
        <v>70</v>
      </c>
      <c r="K16" s="358"/>
    </row>
    <row r="17" spans="1:11" ht="15">
      <c r="A17" s="22"/>
      <c r="B17" s="22"/>
      <c r="C17" s="278"/>
      <c r="D17" s="278"/>
      <c r="E17" s="278"/>
      <c r="F17" s="39"/>
      <c r="G17" s="51"/>
      <c r="H17" s="253"/>
      <c r="I17" s="435"/>
      <c r="J17" s="239"/>
      <c r="K17" s="6"/>
    </row>
    <row r="18" spans="1:11" ht="15">
      <c r="A18" s="22"/>
      <c r="B18" s="22"/>
      <c r="C18" s="278"/>
      <c r="D18" s="278"/>
      <c r="E18" s="278"/>
      <c r="F18" s="39"/>
      <c r="G18" s="301"/>
      <c r="H18" s="253"/>
      <c r="I18" s="435"/>
      <c r="J18" s="239"/>
      <c r="K18" s="6"/>
    </row>
    <row r="19" spans="1:11" ht="15">
      <c r="A19" s="22"/>
      <c r="B19" s="22"/>
      <c r="C19" s="278"/>
      <c r="D19" s="278"/>
      <c r="E19" s="278"/>
      <c r="F19" s="39"/>
      <c r="G19" s="51"/>
      <c r="H19" s="253"/>
      <c r="I19" s="435"/>
      <c r="J19" s="239"/>
      <c r="K19" s="6"/>
    </row>
    <row r="20" spans="1:11" ht="15">
      <c r="A20" s="22"/>
      <c r="B20" s="22"/>
      <c r="C20" s="278"/>
      <c r="D20" s="278"/>
      <c r="E20" s="278"/>
      <c r="F20" s="39"/>
      <c r="G20" s="51"/>
      <c r="H20" s="253"/>
      <c r="I20" s="435"/>
      <c r="J20" s="239"/>
      <c r="K20" s="6"/>
    </row>
    <row r="21" spans="1:11" ht="15">
      <c r="A21" s="22"/>
      <c r="B21" s="22"/>
      <c r="C21" s="278"/>
      <c r="D21" s="278"/>
      <c r="E21" s="278"/>
      <c r="F21" s="39"/>
      <c r="G21" s="51"/>
      <c r="H21" s="253"/>
      <c r="I21" s="435"/>
      <c r="J21" s="239"/>
      <c r="K21" s="6"/>
    </row>
    <row r="22" spans="1:11" ht="15">
      <c r="A22" s="22"/>
      <c r="B22" s="22"/>
      <c r="C22" s="278"/>
      <c r="D22" s="278"/>
      <c r="E22" s="278"/>
      <c r="F22" s="39"/>
      <c r="G22" s="51"/>
      <c r="H22" s="253"/>
      <c r="I22" s="435"/>
      <c r="J22" s="239"/>
      <c r="K22" s="6"/>
    </row>
    <row r="23" spans="1:11" ht="15">
      <c r="A23" s="22"/>
      <c r="B23" s="22"/>
      <c r="C23" s="278"/>
      <c r="D23" s="278"/>
      <c r="E23" s="278"/>
      <c r="F23" s="39"/>
      <c r="G23" s="51"/>
      <c r="H23" s="253"/>
      <c r="I23" s="435"/>
      <c r="J23" s="239"/>
      <c r="K23" s="6"/>
    </row>
    <row r="24" spans="1:11">
      <c r="A24" s="22"/>
      <c r="B24" s="22"/>
      <c r="C24" s="278"/>
      <c r="D24" s="278"/>
      <c r="E24" s="278"/>
      <c r="F24" s="39"/>
      <c r="G24" s="51"/>
      <c r="H24" s="253"/>
      <c r="I24" s="51"/>
      <c r="J24" s="239"/>
      <c r="K24" s="6"/>
    </row>
    <row r="25" spans="1:11" ht="15">
      <c r="A25" s="22"/>
      <c r="B25" s="22"/>
      <c r="C25" s="278"/>
      <c r="D25" s="278"/>
      <c r="E25" s="278"/>
      <c r="F25" s="39"/>
      <c r="G25" s="51"/>
      <c r="H25" s="253"/>
      <c r="I25" s="435"/>
      <c r="J25" s="239"/>
      <c r="K25" s="6"/>
    </row>
    <row r="26" spans="1:11">
      <c r="A26" s="22"/>
      <c r="B26" s="22"/>
      <c r="C26" s="279"/>
      <c r="D26" s="279"/>
      <c r="E26" s="279"/>
      <c r="F26" s="39"/>
      <c r="G26" s="51"/>
      <c r="H26" s="253"/>
      <c r="I26" s="59"/>
    </row>
    <row r="27" spans="1:11">
      <c r="A27" s="1"/>
      <c r="B27" s="1"/>
      <c r="C27" s="59"/>
      <c r="D27" s="59"/>
      <c r="E27" s="59"/>
      <c r="F27" s="51"/>
      <c r="G27" s="59"/>
      <c r="H27" s="330"/>
      <c r="I27" s="59"/>
    </row>
    <row r="28" spans="1:11">
      <c r="A28" s="1"/>
      <c r="B28" s="1"/>
      <c r="C28" s="59"/>
      <c r="D28" s="59"/>
      <c r="E28" s="59"/>
      <c r="F28" s="59"/>
      <c r="G28" s="59"/>
      <c r="H28" s="330"/>
      <c r="I28" s="59"/>
    </row>
    <row r="29" spans="1:11">
      <c r="A29" s="1"/>
      <c r="B29" s="1"/>
      <c r="C29" s="59"/>
      <c r="D29" s="59"/>
      <c r="E29" s="59"/>
      <c r="F29" s="59"/>
      <c r="G29" s="59"/>
      <c r="H29" s="330"/>
      <c r="I29" s="59"/>
    </row>
  </sheetData>
  <mergeCells count="1">
    <mergeCell ref="A1:B1"/>
  </mergeCells>
  <phoneticPr fontId="24" type="noConversion"/>
  <printOptions gridLines="1"/>
  <pageMargins left="0.75" right="0.75" top="1" bottom="1" header="0.5" footer="0.5"/>
  <pageSetup scale="62" orientation="landscape" horizontalDpi="4294967294" verticalDpi="204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>
  <dimension ref="A1:U27"/>
  <sheetViews>
    <sheetView workbookViewId="0"/>
  </sheetViews>
  <sheetFormatPr defaultColWidth="8.88671875" defaultRowHeight="13.2"/>
  <cols>
    <col min="1" max="1" width="41.44140625" customWidth="1"/>
    <col min="2" max="5" width="10.33203125" customWidth="1"/>
    <col min="7" max="7" width="10.44140625" customWidth="1"/>
    <col min="9" max="9" width="10.109375" customWidth="1"/>
  </cols>
  <sheetData>
    <row r="1" spans="1:21" ht="17.399999999999999">
      <c r="A1" s="44" t="s">
        <v>185</v>
      </c>
      <c r="B1" s="30"/>
      <c r="C1" s="30"/>
      <c r="D1" s="30"/>
      <c r="E1" s="30" t="s">
        <v>56</v>
      </c>
      <c r="F1" s="31">
        <f>MAX(E4:E16)</f>
        <v>651</v>
      </c>
      <c r="G1" s="30" t="s">
        <v>57</v>
      </c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>
      <c r="A2" s="199" t="s">
        <v>118</v>
      </c>
      <c r="B2" s="30"/>
      <c r="C2" s="30"/>
      <c r="D2" s="30"/>
      <c r="E2" s="30" t="s">
        <v>55</v>
      </c>
      <c r="F2" s="31">
        <f>MIN(E4:E115)</f>
        <v>0</v>
      </c>
      <c r="G2" s="30" t="s">
        <v>57</v>
      </c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21">
      <c r="B3" s="125" t="s">
        <v>52</v>
      </c>
      <c r="C3" s="125" t="s">
        <v>53</v>
      </c>
      <c r="D3" s="125" t="s">
        <v>54</v>
      </c>
      <c r="E3" s="43" t="s">
        <v>24</v>
      </c>
      <c r="G3" s="38"/>
      <c r="H3" s="2" t="s">
        <v>27</v>
      </c>
    </row>
    <row r="4" spans="1:21" ht="14.4">
      <c r="A4" s="422" t="s">
        <v>186</v>
      </c>
      <c r="B4" s="381">
        <v>155</v>
      </c>
      <c r="C4" s="382">
        <v>139</v>
      </c>
      <c r="D4" s="382">
        <v>275</v>
      </c>
      <c r="E4" s="222">
        <f>+B4+C4+D4</f>
        <v>569</v>
      </c>
      <c r="F4" s="140"/>
      <c r="G4" s="17"/>
      <c r="H4" s="17">
        <f t="shared" ref="H4:H16" si="0">RANK($E4,$E$4:$E$16)</f>
        <v>9</v>
      </c>
    </row>
    <row r="5" spans="1:21" ht="14.4">
      <c r="A5" s="422" t="s">
        <v>187</v>
      </c>
      <c r="B5" s="383"/>
      <c r="C5" s="384"/>
      <c r="D5" s="384"/>
      <c r="E5" s="222">
        <f t="shared" ref="E5:E16" si="1">+B5+C5+D5</f>
        <v>0</v>
      </c>
      <c r="F5" s="515" t="s">
        <v>280</v>
      </c>
      <c r="G5" s="17"/>
      <c r="H5" s="17">
        <f t="shared" si="0"/>
        <v>10</v>
      </c>
      <c r="I5" s="375"/>
    </row>
    <row r="6" spans="1:21" ht="14.4">
      <c r="A6" s="423" t="s">
        <v>188</v>
      </c>
      <c r="B6" s="383">
        <v>184</v>
      </c>
      <c r="C6" s="384">
        <v>169</v>
      </c>
      <c r="D6" s="384">
        <v>288</v>
      </c>
      <c r="E6" s="222">
        <f t="shared" si="1"/>
        <v>641</v>
      </c>
      <c r="F6" s="140"/>
      <c r="G6" s="17"/>
      <c r="H6" s="17">
        <f t="shared" si="0"/>
        <v>3</v>
      </c>
    </row>
    <row r="7" spans="1:21" s="223" customFormat="1" ht="14.4">
      <c r="A7" s="422" t="s">
        <v>189</v>
      </c>
      <c r="B7" s="383"/>
      <c r="C7" s="384"/>
      <c r="D7" s="384"/>
      <c r="E7" s="222">
        <f t="shared" si="1"/>
        <v>0</v>
      </c>
      <c r="F7" s="140" t="s">
        <v>280</v>
      </c>
      <c r="G7" s="218"/>
      <c r="H7" s="17">
        <f t="shared" si="0"/>
        <v>10</v>
      </c>
      <c r="I7" s="375"/>
    </row>
    <row r="8" spans="1:21" s="223" customFormat="1" ht="14.4">
      <c r="A8" s="424" t="s">
        <v>190</v>
      </c>
      <c r="B8" s="383">
        <v>169</v>
      </c>
      <c r="C8" s="384">
        <v>160</v>
      </c>
      <c r="D8" s="384">
        <v>282</v>
      </c>
      <c r="E8" s="222">
        <f t="shared" si="1"/>
        <v>611</v>
      </c>
      <c r="F8" s="199"/>
      <c r="G8" s="218"/>
      <c r="H8" s="17">
        <f t="shared" si="0"/>
        <v>6</v>
      </c>
    </row>
    <row r="9" spans="1:21" s="30" customFormat="1" ht="14.4">
      <c r="A9" s="422" t="s">
        <v>191</v>
      </c>
      <c r="B9" s="383">
        <v>165</v>
      </c>
      <c r="C9" s="384">
        <v>152</v>
      </c>
      <c r="D9" s="384">
        <v>325</v>
      </c>
      <c r="E9" s="222">
        <f t="shared" si="1"/>
        <v>642</v>
      </c>
      <c r="F9" s="181" t="s">
        <v>44</v>
      </c>
      <c r="G9" s="17"/>
      <c r="H9" s="17">
        <f t="shared" si="0"/>
        <v>2</v>
      </c>
    </row>
    <row r="10" spans="1:21" ht="14.4">
      <c r="A10" s="422" t="s">
        <v>192</v>
      </c>
      <c r="B10" s="383">
        <v>174</v>
      </c>
      <c r="C10" s="384">
        <v>190</v>
      </c>
      <c r="D10" s="384">
        <v>287</v>
      </c>
      <c r="E10" s="222">
        <f t="shared" si="1"/>
        <v>651</v>
      </c>
      <c r="F10" s="140"/>
      <c r="G10" s="17"/>
      <c r="H10" s="17">
        <f t="shared" si="0"/>
        <v>1</v>
      </c>
    </row>
    <row r="11" spans="1:21" ht="14.4">
      <c r="A11" s="422" t="s">
        <v>193</v>
      </c>
      <c r="B11" s="383">
        <v>155</v>
      </c>
      <c r="C11" s="384">
        <v>155</v>
      </c>
      <c r="D11" s="384">
        <v>279</v>
      </c>
      <c r="E11" s="222">
        <f t="shared" si="1"/>
        <v>589</v>
      </c>
      <c r="F11" s="140"/>
      <c r="G11" s="17"/>
      <c r="H11" s="17">
        <f t="shared" si="0"/>
        <v>8</v>
      </c>
    </row>
    <row r="12" spans="1:21" ht="14.4">
      <c r="A12" s="422" t="s">
        <v>194</v>
      </c>
      <c r="B12" s="383">
        <v>172</v>
      </c>
      <c r="C12" s="384">
        <v>155</v>
      </c>
      <c r="D12" s="384">
        <v>299</v>
      </c>
      <c r="E12" s="222">
        <f t="shared" si="1"/>
        <v>626</v>
      </c>
      <c r="F12" s="134"/>
      <c r="G12" s="17"/>
      <c r="H12" s="17">
        <f t="shared" si="0"/>
        <v>5</v>
      </c>
    </row>
    <row r="13" spans="1:21" ht="14.4">
      <c r="A13" s="422" t="s">
        <v>195</v>
      </c>
      <c r="B13" s="383"/>
      <c r="C13" s="384"/>
      <c r="D13" s="384"/>
      <c r="E13" s="222">
        <f t="shared" si="1"/>
        <v>0</v>
      </c>
      <c r="F13" s="140" t="s">
        <v>280</v>
      </c>
      <c r="G13" s="17"/>
      <c r="H13" s="17">
        <f t="shared" si="0"/>
        <v>10</v>
      </c>
    </row>
    <row r="14" spans="1:21" ht="14.4">
      <c r="A14" s="422" t="s">
        <v>196</v>
      </c>
      <c r="B14" s="383">
        <v>173</v>
      </c>
      <c r="C14" s="384">
        <v>166</v>
      </c>
      <c r="D14" s="384">
        <v>260</v>
      </c>
      <c r="E14" s="222">
        <f t="shared" si="1"/>
        <v>599</v>
      </c>
      <c r="F14" s="140"/>
      <c r="G14" s="17"/>
      <c r="H14" s="17">
        <f t="shared" si="0"/>
        <v>7</v>
      </c>
    </row>
    <row r="15" spans="1:21" ht="14.4">
      <c r="A15" s="422" t="s">
        <v>197</v>
      </c>
      <c r="B15" s="383"/>
      <c r="C15" s="384"/>
      <c r="D15" s="384"/>
      <c r="E15" s="222">
        <f t="shared" si="1"/>
        <v>0</v>
      </c>
      <c r="F15" s="140" t="s">
        <v>280</v>
      </c>
      <c r="G15" s="17"/>
      <c r="H15" s="17">
        <f t="shared" si="0"/>
        <v>10</v>
      </c>
    </row>
    <row r="16" spans="1:21" ht="14.4">
      <c r="A16" s="422" t="s">
        <v>198</v>
      </c>
      <c r="B16" s="383">
        <v>163</v>
      </c>
      <c r="C16" s="384">
        <v>180</v>
      </c>
      <c r="D16" s="384">
        <v>298</v>
      </c>
      <c r="E16" s="222">
        <f t="shared" si="1"/>
        <v>641</v>
      </c>
      <c r="F16" s="140"/>
      <c r="G16" s="17"/>
      <c r="H16" s="17">
        <f t="shared" si="0"/>
        <v>3</v>
      </c>
    </row>
    <row r="17" spans="5:5">
      <c r="E17" s="60"/>
    </row>
    <row r="18" spans="5:5">
      <c r="E18" s="60"/>
    </row>
    <row r="19" spans="5:5">
      <c r="E19" s="60"/>
    </row>
    <row r="20" spans="5:5">
      <c r="E20" s="60"/>
    </row>
    <row r="21" spans="5:5">
      <c r="E21" s="60"/>
    </row>
    <row r="22" spans="5:5">
      <c r="E22" s="60"/>
    </row>
    <row r="23" spans="5:5">
      <c r="E23" s="60"/>
    </row>
    <row r="24" spans="5:5">
      <c r="E24" s="60"/>
    </row>
    <row r="25" spans="5:5">
      <c r="E25" s="60"/>
    </row>
    <row r="26" spans="5:5">
      <c r="E26" s="60"/>
    </row>
    <row r="27" spans="5:5">
      <c r="E27" s="60"/>
    </row>
  </sheetData>
  <phoneticPr fontId="24" type="noConversion"/>
  <printOptions gridLines="1"/>
  <pageMargins left="0.75" right="0.75" top="1" bottom="1" header="0.5" footer="0.5"/>
  <pageSetup orientation="landscape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T58"/>
  <sheetViews>
    <sheetView zoomScale="85" zoomScaleNormal="85" zoomScalePageLayoutView="85" workbookViewId="0">
      <pane xSplit="2" ySplit="2" topLeftCell="C33" activePane="bottomRight" state="frozen"/>
      <selection pane="topRight" activeCell="C1" sqref="C1"/>
      <selection pane="bottomLeft" activeCell="A3" sqref="A3"/>
      <selection pane="bottomRight" activeCell="M28" sqref="M28"/>
    </sheetView>
  </sheetViews>
  <sheetFormatPr defaultColWidth="10.77734375" defaultRowHeight="13.2"/>
  <cols>
    <col min="1" max="1" width="12.21875" style="158" bestFit="1" customWidth="1"/>
    <col min="2" max="2" width="4.21875" style="64" customWidth="1"/>
    <col min="3" max="3" width="13.109375" style="158" customWidth="1"/>
    <col min="4" max="4" width="10.5546875" style="158" customWidth="1"/>
    <col min="5" max="5" width="12.109375" style="158" customWidth="1"/>
    <col min="6" max="6" width="11.77734375" style="252" customWidth="1"/>
    <col min="7" max="7" width="7.6640625" style="159" customWidth="1"/>
    <col min="8" max="8" width="12.109375" style="221" customWidth="1"/>
    <col min="9" max="9" width="13.6640625" style="158" customWidth="1"/>
    <col min="10" max="10" width="9.44140625" style="158" customWidth="1"/>
    <col min="11" max="11" width="10.44140625" style="182" customWidth="1"/>
    <col min="12" max="12" width="12.88671875" style="158" customWidth="1"/>
    <col min="13" max="13" width="9.33203125" style="175" customWidth="1"/>
    <col min="14" max="14" width="12.88671875" style="175" customWidth="1"/>
    <col min="15" max="15" width="11.21875" style="429" customWidth="1"/>
    <col min="16" max="16" width="10.77734375" style="158"/>
    <col min="17" max="17" width="10.77734375" style="174"/>
    <col min="18" max="16384" width="10.77734375" style="64"/>
  </cols>
  <sheetData>
    <row r="1" spans="1:19" s="408" customFormat="1" ht="17.399999999999999">
      <c r="A1" s="315" t="s">
        <v>173</v>
      </c>
      <c r="C1" s="158"/>
      <c r="D1" s="158"/>
      <c r="E1" s="158"/>
      <c r="F1" s="252"/>
      <c r="G1" s="159"/>
      <c r="H1" s="221"/>
      <c r="I1" s="158"/>
      <c r="J1" s="158"/>
      <c r="K1" s="182"/>
      <c r="L1" s="158"/>
      <c r="M1" s="175"/>
      <c r="N1" s="175"/>
      <c r="O1" s="429"/>
      <c r="P1" s="158"/>
    </row>
    <row r="2" spans="1:19" ht="43.2">
      <c r="A2" s="410" t="s">
        <v>166</v>
      </c>
      <c r="B2" s="410"/>
      <c r="C2" s="487" t="s">
        <v>186</v>
      </c>
      <c r="D2" s="487" t="s">
        <v>187</v>
      </c>
      <c r="E2" s="488" t="s">
        <v>188</v>
      </c>
      <c r="F2" s="487" t="s">
        <v>189</v>
      </c>
      <c r="G2" s="489" t="s">
        <v>190</v>
      </c>
      <c r="H2" s="487" t="s">
        <v>191</v>
      </c>
      <c r="I2" s="487" t="s">
        <v>192</v>
      </c>
      <c r="J2" s="487" t="s">
        <v>193</v>
      </c>
      <c r="K2" s="487" t="s">
        <v>194</v>
      </c>
      <c r="L2" s="487" t="s">
        <v>195</v>
      </c>
      <c r="M2" s="487" t="s">
        <v>196</v>
      </c>
      <c r="N2" s="487" t="s">
        <v>197</v>
      </c>
      <c r="O2" s="490" t="s">
        <v>198</v>
      </c>
      <c r="P2" s="301"/>
      <c r="Q2" s="235"/>
      <c r="R2" s="162"/>
      <c r="S2" s="162"/>
    </row>
    <row r="3" spans="1:19" s="322" customFormat="1">
      <c r="A3" s="407">
        <v>1</v>
      </c>
      <c r="B3" s="409"/>
      <c r="C3" s="388">
        <v>80</v>
      </c>
      <c r="D3" s="388">
        <v>83</v>
      </c>
      <c r="E3" s="388">
        <v>87</v>
      </c>
      <c r="F3" s="388">
        <v>85</v>
      </c>
      <c r="G3" s="388"/>
      <c r="H3" s="388"/>
      <c r="I3" s="388"/>
      <c r="J3" s="388"/>
      <c r="K3" s="388"/>
      <c r="L3" s="388"/>
      <c r="M3" s="388"/>
      <c r="N3" s="388"/>
      <c r="O3" s="430"/>
      <c r="P3" s="407">
        <f t="shared" ref="P3:P33" si="0">COUNTA(C3:O3)</f>
        <v>4</v>
      </c>
      <c r="Q3" s="321"/>
    </row>
    <row r="4" spans="1:19">
      <c r="A4" s="407">
        <f>A3+1</f>
        <v>2</v>
      </c>
      <c r="B4" s="323"/>
      <c r="C4" s="364">
        <v>91</v>
      </c>
      <c r="D4" s="364">
        <v>83</v>
      </c>
      <c r="E4" s="364">
        <v>92</v>
      </c>
      <c r="F4" s="364">
        <v>87</v>
      </c>
      <c r="G4" s="364"/>
      <c r="H4" s="364"/>
      <c r="I4" s="364"/>
      <c r="J4" s="364"/>
      <c r="K4" s="364"/>
      <c r="L4" s="364"/>
      <c r="M4" s="364"/>
      <c r="N4" s="364"/>
      <c r="O4" s="431"/>
      <c r="P4" s="407">
        <f t="shared" si="0"/>
        <v>4</v>
      </c>
      <c r="Q4" s="235"/>
      <c r="R4" s="162"/>
      <c r="S4" s="162"/>
    </row>
    <row r="5" spans="1:19">
      <c r="A5" s="407">
        <f t="shared" ref="A5:A50" si="1">A4+1</f>
        <v>3</v>
      </c>
      <c r="B5" s="323"/>
      <c r="C5" s="364"/>
      <c r="D5" s="364"/>
      <c r="E5" s="364"/>
      <c r="F5" s="364">
        <v>76</v>
      </c>
      <c r="G5" s="364">
        <v>77</v>
      </c>
      <c r="H5" s="364">
        <v>78</v>
      </c>
      <c r="I5" s="364">
        <v>52</v>
      </c>
      <c r="J5" s="364"/>
      <c r="K5" s="364"/>
      <c r="L5" s="364"/>
      <c r="M5" s="364"/>
      <c r="N5" s="364"/>
      <c r="O5" s="431"/>
      <c r="P5" s="407">
        <f t="shared" si="0"/>
        <v>4</v>
      </c>
    </row>
    <row r="6" spans="1:19">
      <c r="A6" s="407">
        <f t="shared" si="1"/>
        <v>4</v>
      </c>
      <c r="B6" s="323"/>
      <c r="C6" s="364">
        <v>91</v>
      </c>
      <c r="D6" s="364">
        <v>87</v>
      </c>
      <c r="E6" s="364"/>
      <c r="F6" s="364"/>
      <c r="G6" s="364"/>
      <c r="H6" s="364">
        <v>84</v>
      </c>
      <c r="I6" s="364"/>
      <c r="J6" s="364"/>
      <c r="K6" s="364">
        <v>77</v>
      </c>
      <c r="L6" s="364"/>
      <c r="M6" s="364"/>
      <c r="N6" s="364"/>
      <c r="O6" s="431"/>
      <c r="P6" s="407">
        <f t="shared" si="0"/>
        <v>4</v>
      </c>
      <c r="Q6" s="301"/>
      <c r="R6" s="300"/>
      <c r="S6" s="300"/>
    </row>
    <row r="7" spans="1:19">
      <c r="A7" s="407">
        <f t="shared" si="1"/>
        <v>5</v>
      </c>
      <c r="B7" s="323"/>
      <c r="C7" s="364"/>
      <c r="D7" s="364"/>
      <c r="E7" s="364"/>
      <c r="F7" s="364">
        <v>95</v>
      </c>
      <c r="G7" s="437">
        <v>93</v>
      </c>
      <c r="H7" s="364">
        <v>81</v>
      </c>
      <c r="I7" s="364">
        <v>60</v>
      </c>
      <c r="J7" s="364"/>
      <c r="K7" s="364"/>
      <c r="L7" s="364"/>
      <c r="M7" s="364"/>
      <c r="N7" s="364"/>
      <c r="O7" s="431"/>
      <c r="P7" s="407">
        <f t="shared" si="0"/>
        <v>4</v>
      </c>
      <c r="Q7" s="235"/>
      <c r="R7" s="162"/>
      <c r="S7" s="199"/>
    </row>
    <row r="8" spans="1:19" s="162" customFormat="1">
      <c r="A8" s="407">
        <f t="shared" si="1"/>
        <v>6</v>
      </c>
      <c r="B8" s="323"/>
      <c r="C8" s="364"/>
      <c r="D8" s="364"/>
      <c r="E8" s="364"/>
      <c r="F8" s="364">
        <v>89</v>
      </c>
      <c r="G8" s="364">
        <v>85</v>
      </c>
      <c r="H8" s="364">
        <v>82</v>
      </c>
      <c r="I8" s="364"/>
      <c r="J8" s="364"/>
      <c r="K8" s="364"/>
      <c r="L8" s="364"/>
      <c r="M8" s="364"/>
      <c r="N8" s="364"/>
      <c r="O8" s="431"/>
      <c r="P8" s="407">
        <f t="shared" si="0"/>
        <v>3</v>
      </c>
      <c r="Q8" s="235"/>
    </row>
    <row r="9" spans="1:19">
      <c r="A9" s="407">
        <f t="shared" si="1"/>
        <v>7</v>
      </c>
      <c r="B9" s="323"/>
      <c r="C9" s="364"/>
      <c r="D9" s="364"/>
      <c r="E9" s="364"/>
      <c r="F9" s="364"/>
      <c r="G9" s="364">
        <v>93</v>
      </c>
      <c r="H9" s="364">
        <v>83</v>
      </c>
      <c r="I9" s="364">
        <v>65</v>
      </c>
      <c r="J9" s="364">
        <v>81</v>
      </c>
      <c r="K9" s="364"/>
      <c r="L9" s="364"/>
      <c r="M9" s="364"/>
      <c r="N9" s="364"/>
      <c r="O9" s="431"/>
      <c r="P9" s="407">
        <f t="shared" si="0"/>
        <v>4</v>
      </c>
      <c r="Q9" s="235"/>
      <c r="R9" s="300"/>
      <c r="S9" s="300"/>
    </row>
    <row r="10" spans="1:19">
      <c r="A10" s="407">
        <f t="shared" si="1"/>
        <v>8</v>
      </c>
      <c r="B10" s="323"/>
      <c r="C10" s="364"/>
      <c r="D10" s="364"/>
      <c r="E10" s="364"/>
      <c r="F10" s="364"/>
      <c r="G10" s="364"/>
      <c r="H10" s="364"/>
      <c r="I10" s="364"/>
      <c r="J10" s="364">
        <v>76</v>
      </c>
      <c r="K10" s="364">
        <v>48</v>
      </c>
      <c r="L10" s="364">
        <v>84</v>
      </c>
      <c r="M10" s="364">
        <v>59</v>
      </c>
      <c r="N10" s="364">
        <v>62</v>
      </c>
      <c r="O10" s="431">
        <v>67</v>
      </c>
      <c r="P10" s="407">
        <f t="shared" si="0"/>
        <v>6</v>
      </c>
      <c r="Q10" s="235"/>
      <c r="R10" s="162"/>
      <c r="S10" s="162"/>
    </row>
    <row r="11" spans="1:19">
      <c r="A11" s="407">
        <f t="shared" si="1"/>
        <v>9</v>
      </c>
      <c r="B11" s="323"/>
      <c r="C11" s="364">
        <v>63</v>
      </c>
      <c r="D11" s="364">
        <v>55</v>
      </c>
      <c r="E11" s="364">
        <v>78</v>
      </c>
      <c r="F11" s="364">
        <v>73</v>
      </c>
      <c r="G11" s="364">
        <v>79</v>
      </c>
      <c r="H11" s="364">
        <v>52</v>
      </c>
      <c r="I11" s="364">
        <v>40</v>
      </c>
      <c r="J11" s="364">
        <v>63</v>
      </c>
      <c r="K11" s="364">
        <v>50</v>
      </c>
      <c r="L11" s="364">
        <v>49</v>
      </c>
      <c r="M11" s="364">
        <v>28</v>
      </c>
      <c r="N11" s="364">
        <v>60</v>
      </c>
      <c r="O11" s="431">
        <v>47</v>
      </c>
      <c r="P11" s="407">
        <f t="shared" si="0"/>
        <v>13</v>
      </c>
      <c r="Q11" s="235"/>
      <c r="R11" s="300"/>
      <c r="S11" s="300"/>
    </row>
    <row r="12" spans="1:19">
      <c r="A12" s="407">
        <f t="shared" si="1"/>
        <v>10</v>
      </c>
      <c r="B12" s="324"/>
      <c r="C12" s="364"/>
      <c r="D12" s="364"/>
      <c r="E12" s="364"/>
      <c r="F12" s="364"/>
      <c r="G12" s="364"/>
      <c r="H12" s="364"/>
      <c r="I12" s="364"/>
      <c r="J12" s="364">
        <v>87</v>
      </c>
      <c r="K12" s="364">
        <v>81</v>
      </c>
      <c r="L12" s="364">
        <v>71</v>
      </c>
      <c r="M12" s="364">
        <v>69</v>
      </c>
      <c r="N12" s="364"/>
      <c r="O12" s="431"/>
      <c r="P12" s="407">
        <f t="shared" si="0"/>
        <v>4</v>
      </c>
      <c r="Q12" s="235"/>
      <c r="R12" s="300"/>
      <c r="S12" s="300"/>
    </row>
    <row r="13" spans="1:19">
      <c r="A13" s="407">
        <f t="shared" si="1"/>
        <v>11</v>
      </c>
      <c r="B13" s="324"/>
      <c r="C13" s="364">
        <v>88</v>
      </c>
      <c r="D13" s="364">
        <v>79</v>
      </c>
      <c r="E13" s="364">
        <v>81</v>
      </c>
      <c r="F13" s="364">
        <v>77</v>
      </c>
      <c r="G13" s="364"/>
      <c r="H13" s="364"/>
      <c r="I13" s="364"/>
      <c r="J13" s="364"/>
      <c r="K13" s="364"/>
      <c r="L13" s="364"/>
      <c r="M13" s="364"/>
      <c r="N13" s="364"/>
      <c r="O13" s="431"/>
      <c r="P13" s="407">
        <f t="shared" si="0"/>
        <v>4</v>
      </c>
      <c r="Q13" s="235"/>
      <c r="R13" s="162"/>
      <c r="S13" s="162"/>
    </row>
    <row r="14" spans="1:19">
      <c r="A14" s="407">
        <f t="shared" si="1"/>
        <v>12</v>
      </c>
      <c r="B14" s="323"/>
      <c r="C14" s="364">
        <v>100</v>
      </c>
      <c r="D14" s="364">
        <v>100</v>
      </c>
      <c r="E14" s="364">
        <v>88</v>
      </c>
      <c r="F14" s="364"/>
      <c r="G14" s="364"/>
      <c r="H14" s="364"/>
      <c r="I14" s="364"/>
      <c r="J14" s="364"/>
      <c r="K14" s="364"/>
      <c r="L14" s="364"/>
      <c r="M14" s="364"/>
      <c r="N14" s="364"/>
      <c r="O14" s="431"/>
      <c r="P14" s="407">
        <f t="shared" si="0"/>
        <v>3</v>
      </c>
      <c r="Q14" s="235"/>
      <c r="R14" s="162"/>
      <c r="S14" s="162"/>
    </row>
    <row r="15" spans="1:19">
      <c r="A15" s="407">
        <f t="shared" si="1"/>
        <v>13</v>
      </c>
      <c r="B15" s="323"/>
      <c r="C15" s="364">
        <v>82</v>
      </c>
      <c r="D15" s="364">
        <v>76</v>
      </c>
      <c r="E15" s="364"/>
      <c r="F15" s="364">
        <v>85</v>
      </c>
      <c r="G15" s="364">
        <v>82</v>
      </c>
      <c r="H15" s="364"/>
      <c r="I15" s="364">
        <v>80</v>
      </c>
      <c r="J15" s="364"/>
      <c r="K15" s="364"/>
      <c r="L15" s="364"/>
      <c r="M15" s="364"/>
      <c r="N15" s="364">
        <v>84</v>
      </c>
      <c r="O15" s="431">
        <v>79</v>
      </c>
      <c r="P15" s="407">
        <f t="shared" si="0"/>
        <v>7</v>
      </c>
      <c r="Q15" s="235"/>
      <c r="R15" s="162"/>
      <c r="S15" s="162"/>
    </row>
    <row r="16" spans="1:19">
      <c r="A16" s="407">
        <f t="shared" si="1"/>
        <v>14</v>
      </c>
      <c r="B16" s="323"/>
      <c r="C16" s="364">
        <v>87</v>
      </c>
      <c r="D16" s="364">
        <v>92</v>
      </c>
      <c r="E16" s="364">
        <v>96</v>
      </c>
      <c r="F16" s="364"/>
      <c r="G16" s="364"/>
      <c r="H16" s="364"/>
      <c r="I16" s="364"/>
      <c r="J16" s="364"/>
      <c r="K16" s="364"/>
      <c r="L16" s="364"/>
      <c r="M16" s="364"/>
      <c r="N16" s="364"/>
      <c r="O16" s="431"/>
      <c r="P16" s="407">
        <f t="shared" si="0"/>
        <v>3</v>
      </c>
      <c r="Q16" s="235"/>
      <c r="R16" s="162"/>
      <c r="S16" s="162"/>
    </row>
    <row r="17" spans="1:20">
      <c r="A17" s="407">
        <f t="shared" si="1"/>
        <v>15</v>
      </c>
      <c r="B17" s="324"/>
      <c r="C17" s="364"/>
      <c r="D17" s="364"/>
      <c r="E17" s="364"/>
      <c r="F17" s="364"/>
      <c r="G17" s="364"/>
      <c r="H17" s="364"/>
      <c r="I17" s="364"/>
      <c r="J17" s="364"/>
      <c r="K17" s="364">
        <v>91</v>
      </c>
      <c r="L17" s="364">
        <v>61</v>
      </c>
      <c r="M17" s="364">
        <v>78</v>
      </c>
      <c r="N17" s="364">
        <v>91</v>
      </c>
      <c r="O17" s="431"/>
      <c r="P17" s="407">
        <f t="shared" si="0"/>
        <v>4</v>
      </c>
      <c r="Q17" s="235"/>
      <c r="R17" s="162"/>
      <c r="S17" s="162"/>
    </row>
    <row r="18" spans="1:20">
      <c r="A18" s="407">
        <f t="shared" si="1"/>
        <v>16</v>
      </c>
      <c r="B18" s="323"/>
      <c r="C18" s="427"/>
      <c r="D18" s="427"/>
      <c r="E18" s="427"/>
      <c r="F18" s="427"/>
      <c r="G18" s="427"/>
      <c r="H18" s="364"/>
      <c r="I18" s="364"/>
      <c r="J18" s="364"/>
      <c r="K18" s="364"/>
      <c r="L18" s="364"/>
      <c r="M18" s="364"/>
      <c r="N18" s="364"/>
      <c r="O18" s="431">
        <v>60</v>
      </c>
      <c r="P18" s="407">
        <f t="shared" si="0"/>
        <v>1</v>
      </c>
      <c r="Q18" s="235"/>
      <c r="R18" s="162"/>
      <c r="S18" s="162"/>
    </row>
    <row r="19" spans="1:20">
      <c r="A19" s="407">
        <f t="shared" si="1"/>
        <v>17</v>
      </c>
      <c r="B19" s="323"/>
      <c r="C19" s="364"/>
      <c r="D19" s="364">
        <v>80</v>
      </c>
      <c r="E19" s="364"/>
      <c r="F19" s="364"/>
      <c r="G19" s="364"/>
      <c r="H19" s="364"/>
      <c r="I19" s="364"/>
      <c r="J19" s="364"/>
      <c r="K19" s="364"/>
      <c r="L19" s="364"/>
      <c r="M19" s="364"/>
      <c r="N19" s="364">
        <v>85</v>
      </c>
      <c r="O19" s="431"/>
      <c r="P19" s="407">
        <f t="shared" si="0"/>
        <v>2</v>
      </c>
      <c r="Q19" s="235"/>
      <c r="R19" s="162"/>
      <c r="S19" s="162"/>
    </row>
    <row r="20" spans="1:20">
      <c r="A20" s="407">
        <f t="shared" si="1"/>
        <v>18</v>
      </c>
      <c r="B20" s="323"/>
      <c r="C20" s="364"/>
      <c r="D20" s="364"/>
      <c r="E20" s="364"/>
      <c r="F20" s="364">
        <v>90</v>
      </c>
      <c r="G20" s="364">
        <v>81</v>
      </c>
      <c r="H20" s="364">
        <v>82</v>
      </c>
      <c r="I20" s="364">
        <v>75</v>
      </c>
      <c r="J20" s="364"/>
      <c r="K20" s="364"/>
      <c r="L20" s="364"/>
      <c r="M20" s="364"/>
      <c r="N20" s="364"/>
      <c r="O20" s="431"/>
      <c r="P20" s="407">
        <f t="shared" si="0"/>
        <v>4</v>
      </c>
      <c r="Q20" s="235"/>
      <c r="R20" s="300"/>
      <c r="S20" s="300"/>
    </row>
    <row r="21" spans="1:20">
      <c r="A21" s="407">
        <f t="shared" si="1"/>
        <v>19</v>
      </c>
      <c r="B21" s="323"/>
      <c r="C21" s="364"/>
      <c r="D21" s="364"/>
      <c r="E21" s="364"/>
      <c r="F21" s="364"/>
      <c r="G21" s="364"/>
      <c r="H21" s="364"/>
      <c r="I21" s="364"/>
      <c r="J21" s="364">
        <v>80</v>
      </c>
      <c r="K21" s="364">
        <v>65</v>
      </c>
      <c r="L21" s="364">
        <v>34</v>
      </c>
      <c r="M21" s="364">
        <v>80</v>
      </c>
      <c r="N21" s="364"/>
      <c r="O21" s="431"/>
      <c r="P21" s="407">
        <f t="shared" si="0"/>
        <v>4</v>
      </c>
      <c r="Q21" s="235"/>
      <c r="R21" s="300"/>
      <c r="S21" s="300"/>
    </row>
    <row r="22" spans="1:20">
      <c r="A22" s="407">
        <f t="shared" si="1"/>
        <v>20</v>
      </c>
      <c r="B22" s="323"/>
      <c r="C22" s="364"/>
      <c r="D22" s="364"/>
      <c r="E22" s="364"/>
      <c r="F22" s="364"/>
      <c r="G22" s="364"/>
      <c r="H22" s="364"/>
      <c r="I22" s="364"/>
      <c r="J22" s="364"/>
      <c r="K22" s="364"/>
      <c r="L22" s="364"/>
      <c r="M22" s="364"/>
      <c r="N22" s="364">
        <v>78</v>
      </c>
      <c r="O22" s="438" t="s">
        <v>202</v>
      </c>
      <c r="P22" s="407">
        <f t="shared" si="0"/>
        <v>2</v>
      </c>
    </row>
    <row r="23" spans="1:20">
      <c r="A23" s="407">
        <f t="shared" si="1"/>
        <v>21</v>
      </c>
      <c r="B23" s="323"/>
      <c r="C23" s="364"/>
      <c r="D23" s="364"/>
      <c r="E23" s="364">
        <v>88</v>
      </c>
      <c r="F23" s="364"/>
      <c r="G23" s="364"/>
      <c r="H23" s="364"/>
      <c r="I23" s="364"/>
      <c r="J23" s="364"/>
      <c r="K23" s="364"/>
      <c r="L23" s="364"/>
      <c r="M23" s="364"/>
      <c r="N23" s="364"/>
      <c r="O23" s="431"/>
      <c r="P23" s="407">
        <f t="shared" si="0"/>
        <v>1</v>
      </c>
      <c r="Q23" s="235"/>
      <c r="R23" s="300"/>
      <c r="S23" s="300"/>
    </row>
    <row r="24" spans="1:20">
      <c r="A24" s="407">
        <f t="shared" si="1"/>
        <v>22</v>
      </c>
      <c r="B24" s="323"/>
      <c r="C24" s="364"/>
      <c r="D24" s="364">
        <v>69</v>
      </c>
      <c r="E24" s="364"/>
      <c r="F24" s="364"/>
      <c r="G24" s="364"/>
      <c r="H24" s="364"/>
      <c r="I24" s="364"/>
      <c r="J24" s="364"/>
      <c r="K24" s="364"/>
      <c r="L24" s="364"/>
      <c r="M24" s="364"/>
      <c r="N24" s="364">
        <v>72</v>
      </c>
      <c r="O24" s="431"/>
      <c r="P24" s="407">
        <f t="shared" si="0"/>
        <v>2</v>
      </c>
    </row>
    <row r="25" spans="1:20">
      <c r="A25" s="407">
        <f t="shared" si="1"/>
        <v>23</v>
      </c>
      <c r="B25" s="323"/>
      <c r="C25" s="364">
        <v>83</v>
      </c>
      <c r="D25" s="364">
        <v>81</v>
      </c>
      <c r="E25" s="364">
        <v>80</v>
      </c>
      <c r="F25" s="364">
        <v>87</v>
      </c>
      <c r="G25" s="364">
        <v>93</v>
      </c>
      <c r="H25" s="364">
        <v>67</v>
      </c>
      <c r="I25" s="364">
        <v>57</v>
      </c>
      <c r="J25" s="364">
        <v>54</v>
      </c>
      <c r="K25" s="364">
        <v>56</v>
      </c>
      <c r="L25" s="364">
        <v>41</v>
      </c>
      <c r="M25" s="364">
        <v>50</v>
      </c>
      <c r="N25" s="364">
        <v>74</v>
      </c>
      <c r="O25" s="431">
        <v>77</v>
      </c>
      <c r="P25" s="407">
        <f t="shared" si="0"/>
        <v>13</v>
      </c>
      <c r="Q25" s="235"/>
      <c r="R25" s="162"/>
      <c r="S25" s="162"/>
    </row>
    <row r="26" spans="1:20">
      <c r="A26" s="407">
        <f t="shared" si="1"/>
        <v>24</v>
      </c>
      <c r="B26" s="323"/>
      <c r="C26" s="364">
        <f>9+24+14+14+9+9+9+4</f>
        <v>92</v>
      </c>
      <c r="D26" s="364">
        <f>9+23+13+13+8+8+9+4</f>
        <v>87</v>
      </c>
      <c r="E26" s="364">
        <f>10+24+14+14+10+10+10+5</f>
        <v>97</v>
      </c>
      <c r="F26" s="364">
        <f>8+23+13+13+8+8+9+4</f>
        <v>86</v>
      </c>
      <c r="G26" s="364">
        <f>9+24+14+14+9+9+9+4</f>
        <v>92</v>
      </c>
      <c r="H26" s="364">
        <f>8+22+13+13+8+8+9+4</f>
        <v>85</v>
      </c>
      <c r="I26" s="364">
        <f>9+24+14+14+9+10+10+4</f>
        <v>94</v>
      </c>
      <c r="J26" s="364">
        <f>8+23+13+13+8+8+8+3</f>
        <v>84</v>
      </c>
      <c r="K26" s="364"/>
      <c r="L26" s="364"/>
      <c r="M26" s="364"/>
      <c r="N26" s="364"/>
      <c r="O26" s="431"/>
      <c r="P26" s="407">
        <f t="shared" si="0"/>
        <v>8</v>
      </c>
      <c r="Q26" s="235"/>
      <c r="R26" s="162"/>
      <c r="S26" s="162"/>
    </row>
    <row r="27" spans="1:20">
      <c r="A27" s="407">
        <f t="shared" si="1"/>
        <v>25</v>
      </c>
      <c r="B27" s="323"/>
      <c r="C27" s="364"/>
      <c r="D27" s="364"/>
      <c r="E27" s="364"/>
      <c r="F27" s="364"/>
      <c r="G27" s="364"/>
      <c r="H27" s="364"/>
      <c r="I27" s="364"/>
      <c r="J27" s="364"/>
      <c r="K27" s="364">
        <v>46</v>
      </c>
      <c r="L27" s="364">
        <v>29</v>
      </c>
      <c r="M27" s="364">
        <v>69</v>
      </c>
      <c r="N27" s="364">
        <v>79</v>
      </c>
      <c r="O27" s="438">
        <v>62</v>
      </c>
      <c r="P27" s="407">
        <f t="shared" si="0"/>
        <v>5</v>
      </c>
      <c r="Q27" s="235"/>
      <c r="R27" s="162"/>
      <c r="S27" s="162"/>
    </row>
    <row r="28" spans="1:20">
      <c r="A28" s="407">
        <f t="shared" si="1"/>
        <v>26</v>
      </c>
      <c r="B28" s="323"/>
      <c r="C28" s="364"/>
      <c r="D28" s="364">
        <v>94</v>
      </c>
      <c r="E28" s="364"/>
      <c r="F28" s="364"/>
      <c r="G28" s="364"/>
      <c r="H28" s="364"/>
      <c r="I28" s="364"/>
      <c r="J28" s="364"/>
      <c r="K28" s="364"/>
      <c r="L28" s="364"/>
      <c r="M28" s="437">
        <v>88</v>
      </c>
      <c r="N28" s="364"/>
      <c r="O28" s="431"/>
      <c r="P28" s="407">
        <f t="shared" si="0"/>
        <v>2</v>
      </c>
    </row>
    <row r="29" spans="1:20">
      <c r="A29" s="407">
        <f t="shared" si="1"/>
        <v>27</v>
      </c>
      <c r="B29" s="323"/>
      <c r="C29" s="364"/>
      <c r="D29" s="364"/>
      <c r="E29" s="364"/>
      <c r="F29" s="364">
        <v>80</v>
      </c>
      <c r="G29" s="364">
        <v>89</v>
      </c>
      <c r="H29" s="364">
        <v>85</v>
      </c>
      <c r="I29" s="364">
        <v>81</v>
      </c>
      <c r="J29" s="364">
        <v>75</v>
      </c>
      <c r="K29" s="364">
        <v>69</v>
      </c>
      <c r="L29" s="364">
        <v>53</v>
      </c>
      <c r="M29" s="364">
        <v>66</v>
      </c>
      <c r="N29" s="364"/>
      <c r="O29" s="431"/>
      <c r="P29" s="407">
        <f t="shared" si="0"/>
        <v>8</v>
      </c>
      <c r="Q29" s="235"/>
      <c r="R29" s="162"/>
      <c r="S29" s="162"/>
    </row>
    <row r="30" spans="1:20">
      <c r="A30" s="407">
        <f t="shared" si="1"/>
        <v>28</v>
      </c>
      <c r="B30" s="323"/>
      <c r="C30" s="364"/>
      <c r="D30" s="364"/>
      <c r="E30" s="364"/>
      <c r="F30" s="364"/>
      <c r="G30" s="364">
        <v>96</v>
      </c>
      <c r="H30" s="364">
        <v>94</v>
      </c>
      <c r="I30" s="364">
        <v>90</v>
      </c>
      <c r="J30" s="364">
        <v>91</v>
      </c>
      <c r="K30" s="364"/>
      <c r="L30" s="364"/>
      <c r="M30" s="364"/>
      <c r="N30" s="364"/>
      <c r="O30" s="431"/>
      <c r="P30" s="407">
        <f t="shared" si="0"/>
        <v>4</v>
      </c>
      <c r="Q30" s="235"/>
      <c r="R30" s="162"/>
      <c r="S30" s="162"/>
      <c r="T30" s="250"/>
    </row>
    <row r="31" spans="1:20">
      <c r="A31" s="407">
        <f t="shared" si="1"/>
        <v>29</v>
      </c>
      <c r="B31" s="323"/>
      <c r="C31" s="364"/>
      <c r="D31" s="364"/>
      <c r="E31" s="364"/>
      <c r="F31" s="364"/>
      <c r="G31" s="364"/>
      <c r="H31" s="364">
        <v>96</v>
      </c>
      <c r="I31" s="364"/>
      <c r="J31" s="364"/>
      <c r="K31" s="364">
        <v>71</v>
      </c>
      <c r="L31" s="364">
        <v>71</v>
      </c>
      <c r="M31" s="364">
        <v>67</v>
      </c>
      <c r="N31" s="364"/>
      <c r="O31" s="431"/>
      <c r="P31" s="407">
        <f t="shared" si="0"/>
        <v>4</v>
      </c>
      <c r="Q31" s="235"/>
      <c r="R31" s="300"/>
      <c r="S31" s="300"/>
      <c r="T31" s="250"/>
    </row>
    <row r="32" spans="1:20">
      <c r="A32" s="407">
        <f t="shared" si="1"/>
        <v>30</v>
      </c>
      <c r="B32" s="323"/>
      <c r="C32" s="364"/>
      <c r="D32" s="364"/>
      <c r="E32" s="364"/>
      <c r="F32" s="364"/>
      <c r="G32" s="364"/>
      <c r="H32" s="364"/>
      <c r="I32" s="364"/>
      <c r="J32" s="364"/>
      <c r="K32" s="364"/>
      <c r="L32" s="364"/>
      <c r="M32" s="364"/>
      <c r="N32" s="364">
        <v>75</v>
      </c>
      <c r="O32" s="431">
        <v>69</v>
      </c>
      <c r="P32" s="407">
        <f t="shared" si="0"/>
        <v>2</v>
      </c>
    </row>
    <row r="33" spans="1:17">
      <c r="A33" s="407">
        <f t="shared" si="1"/>
        <v>31</v>
      </c>
      <c r="B33" s="323"/>
      <c r="C33" s="364">
        <v>77</v>
      </c>
      <c r="D33" s="364">
        <v>73</v>
      </c>
      <c r="E33" s="364">
        <v>81</v>
      </c>
      <c r="F33" s="364">
        <v>79</v>
      </c>
      <c r="G33" s="364">
        <v>87</v>
      </c>
      <c r="H33" s="364">
        <v>86</v>
      </c>
      <c r="I33" s="364">
        <v>63</v>
      </c>
      <c r="J33" s="364">
        <v>64</v>
      </c>
      <c r="K33" s="364">
        <v>60</v>
      </c>
      <c r="L33" s="364">
        <v>52</v>
      </c>
      <c r="M33" s="364">
        <v>62</v>
      </c>
      <c r="N33" s="364">
        <v>84</v>
      </c>
      <c r="O33" s="431">
        <v>47</v>
      </c>
      <c r="P33" s="407">
        <f t="shared" si="0"/>
        <v>13</v>
      </c>
    </row>
    <row r="34" spans="1:17">
      <c r="A34" s="407">
        <f t="shared" si="1"/>
        <v>32</v>
      </c>
      <c r="B34" s="324"/>
      <c r="C34" s="364"/>
      <c r="D34" s="364"/>
      <c r="E34" s="364">
        <v>100</v>
      </c>
      <c r="F34" s="364"/>
      <c r="G34" s="364"/>
      <c r="H34" s="364"/>
      <c r="I34" s="364"/>
      <c r="J34" s="364"/>
      <c r="K34" s="364"/>
      <c r="L34" s="364"/>
      <c r="M34" s="364"/>
      <c r="N34" s="364">
        <v>84</v>
      </c>
      <c r="O34" s="431">
        <v>86</v>
      </c>
      <c r="P34" s="407">
        <f t="shared" ref="P34:P50" si="2">COUNTA(C34:O34)</f>
        <v>3</v>
      </c>
    </row>
    <row r="35" spans="1:17">
      <c r="A35" s="407">
        <f t="shared" si="1"/>
        <v>33</v>
      </c>
      <c r="B35" s="324"/>
      <c r="C35" s="364">
        <v>91</v>
      </c>
      <c r="D35" s="364">
        <v>83</v>
      </c>
      <c r="E35" s="364">
        <v>88</v>
      </c>
      <c r="F35" s="364">
        <v>87</v>
      </c>
      <c r="G35" s="364"/>
      <c r="H35" s="364"/>
      <c r="I35" s="364"/>
      <c r="J35" s="364"/>
      <c r="K35" s="364"/>
      <c r="L35" s="364"/>
      <c r="M35" s="364"/>
      <c r="N35" s="364"/>
      <c r="O35" s="431"/>
      <c r="P35" s="407">
        <f t="shared" si="2"/>
        <v>4</v>
      </c>
    </row>
    <row r="36" spans="1:17">
      <c r="A36" s="407">
        <f t="shared" si="1"/>
        <v>34</v>
      </c>
      <c r="B36" s="324"/>
      <c r="C36" s="364"/>
      <c r="D36" s="364"/>
      <c r="E36" s="364"/>
      <c r="F36" s="364"/>
      <c r="G36" s="364"/>
      <c r="H36" s="364"/>
      <c r="I36" s="364"/>
      <c r="J36" s="364"/>
      <c r="K36" s="364"/>
      <c r="L36" s="364"/>
      <c r="M36" s="364"/>
      <c r="N36" s="364"/>
      <c r="O36" s="431"/>
      <c r="P36" s="407">
        <f t="shared" si="2"/>
        <v>0</v>
      </c>
    </row>
    <row r="37" spans="1:17">
      <c r="A37" s="407">
        <f t="shared" si="1"/>
        <v>35</v>
      </c>
      <c r="B37" s="323"/>
      <c r="C37" s="364">
        <v>76</v>
      </c>
      <c r="D37" s="364">
        <v>78</v>
      </c>
      <c r="E37" s="364">
        <v>66</v>
      </c>
      <c r="F37" s="364">
        <v>66</v>
      </c>
      <c r="G37" s="364">
        <v>87</v>
      </c>
      <c r="H37" s="364"/>
      <c r="I37" s="364">
        <v>46</v>
      </c>
      <c r="J37" s="364">
        <v>73</v>
      </c>
      <c r="K37" s="364"/>
      <c r="L37" s="364"/>
      <c r="M37" s="364"/>
      <c r="N37" s="364"/>
      <c r="O37" s="431"/>
      <c r="P37" s="407">
        <f t="shared" si="2"/>
        <v>7</v>
      </c>
    </row>
    <row r="38" spans="1:17">
      <c r="A38" s="407">
        <f t="shared" si="1"/>
        <v>36</v>
      </c>
      <c r="B38" s="323"/>
      <c r="C38" s="364">
        <v>91</v>
      </c>
      <c r="D38" s="364">
        <v>73</v>
      </c>
      <c r="E38" s="364">
        <v>85</v>
      </c>
      <c r="F38" s="364">
        <v>85</v>
      </c>
      <c r="G38" s="364">
        <v>80</v>
      </c>
      <c r="H38" s="364">
        <v>92</v>
      </c>
      <c r="I38" s="364">
        <v>62</v>
      </c>
      <c r="J38" s="364">
        <v>76</v>
      </c>
      <c r="K38" s="364">
        <v>62</v>
      </c>
      <c r="L38" s="364">
        <v>28</v>
      </c>
      <c r="M38" s="364">
        <v>62</v>
      </c>
      <c r="N38" s="364">
        <v>73</v>
      </c>
      <c r="O38" s="431">
        <v>76</v>
      </c>
      <c r="P38" s="407">
        <f t="shared" si="2"/>
        <v>13</v>
      </c>
    </row>
    <row r="39" spans="1:17">
      <c r="A39" s="407">
        <f t="shared" si="1"/>
        <v>37</v>
      </c>
      <c r="B39" s="323"/>
      <c r="C39" s="364">
        <v>80</v>
      </c>
      <c r="D39" s="364">
        <v>83</v>
      </c>
      <c r="E39" s="364">
        <v>87</v>
      </c>
      <c r="F39" s="364">
        <v>85</v>
      </c>
      <c r="G39" s="364"/>
      <c r="H39" s="364"/>
      <c r="I39" s="364"/>
      <c r="J39" s="364"/>
      <c r="K39" s="364"/>
      <c r="L39" s="364"/>
      <c r="M39" s="364"/>
      <c r="N39" s="364"/>
      <c r="O39" s="431"/>
      <c r="P39" s="407">
        <f t="shared" si="2"/>
        <v>4</v>
      </c>
    </row>
    <row r="40" spans="1:17" s="322" customFormat="1">
      <c r="A40" s="407">
        <f t="shared" si="1"/>
        <v>38</v>
      </c>
      <c r="B40" s="439"/>
      <c r="C40" s="364">
        <v>94</v>
      </c>
      <c r="D40" s="364"/>
      <c r="E40" s="364"/>
      <c r="F40" s="364"/>
      <c r="G40" s="364"/>
      <c r="H40" s="364"/>
      <c r="I40" s="364"/>
      <c r="J40" s="364"/>
      <c r="K40" s="364"/>
      <c r="L40" s="364"/>
      <c r="M40" s="364"/>
      <c r="N40" s="364"/>
      <c r="O40" s="431">
        <v>91</v>
      </c>
      <c r="P40" s="407">
        <f t="shared" si="2"/>
        <v>2</v>
      </c>
      <c r="Q40" s="321"/>
    </row>
    <row r="41" spans="1:17">
      <c r="A41" s="407">
        <f t="shared" si="1"/>
        <v>39</v>
      </c>
      <c r="B41" s="324"/>
      <c r="C41" s="364">
        <v>85</v>
      </c>
      <c r="D41" s="364">
        <v>81</v>
      </c>
      <c r="E41" s="364">
        <v>80</v>
      </c>
      <c r="F41" s="364">
        <v>89</v>
      </c>
      <c r="G41" s="364">
        <v>89</v>
      </c>
      <c r="H41" s="364">
        <v>84</v>
      </c>
      <c r="I41" s="364">
        <v>84</v>
      </c>
      <c r="J41" s="364"/>
      <c r="K41" s="364"/>
      <c r="L41" s="364">
        <v>68</v>
      </c>
      <c r="M41" s="364"/>
      <c r="N41" s="364"/>
      <c r="O41" s="431"/>
      <c r="P41" s="407">
        <f t="shared" si="2"/>
        <v>8</v>
      </c>
    </row>
    <row r="42" spans="1:17">
      <c r="A42" s="407">
        <f t="shared" si="1"/>
        <v>40</v>
      </c>
      <c r="B42" s="323"/>
      <c r="C42" s="364">
        <v>92</v>
      </c>
      <c r="D42" s="364">
        <v>80</v>
      </c>
      <c r="E42" s="364">
        <v>73</v>
      </c>
      <c r="F42" s="364">
        <v>87</v>
      </c>
      <c r="G42" s="364">
        <v>99</v>
      </c>
      <c r="H42" s="364">
        <v>83</v>
      </c>
      <c r="I42" s="364">
        <v>52</v>
      </c>
      <c r="J42" s="364">
        <v>69</v>
      </c>
      <c r="K42" s="364">
        <v>62</v>
      </c>
      <c r="L42" s="364">
        <v>36</v>
      </c>
      <c r="M42" s="364">
        <v>47</v>
      </c>
      <c r="N42" s="364">
        <v>62</v>
      </c>
      <c r="O42" s="431">
        <v>48</v>
      </c>
      <c r="P42" s="407">
        <f t="shared" si="2"/>
        <v>13</v>
      </c>
    </row>
    <row r="43" spans="1:17">
      <c r="A43" s="407">
        <f t="shared" si="1"/>
        <v>41</v>
      </c>
      <c r="B43" s="323"/>
      <c r="C43" s="364"/>
      <c r="D43" s="364"/>
      <c r="E43" s="364">
        <v>95</v>
      </c>
      <c r="F43" s="364"/>
      <c r="G43" s="364"/>
      <c r="H43" s="364"/>
      <c r="I43" s="364"/>
      <c r="J43" s="364">
        <v>96</v>
      </c>
      <c r="K43" s="364"/>
      <c r="L43" s="364">
        <v>70</v>
      </c>
      <c r="M43" s="364"/>
      <c r="N43" s="364"/>
      <c r="O43" s="431">
        <v>87</v>
      </c>
      <c r="P43" s="407">
        <f t="shared" si="2"/>
        <v>4</v>
      </c>
    </row>
    <row r="44" spans="1:17">
      <c r="A44" s="407">
        <f t="shared" si="1"/>
        <v>42</v>
      </c>
      <c r="B44" s="323"/>
      <c r="C44" s="364"/>
      <c r="D44" s="364"/>
      <c r="E44" s="364"/>
      <c r="F44" s="364"/>
      <c r="G44" s="364">
        <v>96</v>
      </c>
      <c r="H44" s="364">
        <v>91</v>
      </c>
      <c r="I44" s="364"/>
      <c r="J44" s="364"/>
      <c r="K44" s="364">
        <v>81</v>
      </c>
      <c r="L44" s="364"/>
      <c r="M44" s="364">
        <v>60</v>
      </c>
      <c r="N44" s="364"/>
      <c r="O44" s="431"/>
      <c r="P44" s="407">
        <f t="shared" si="2"/>
        <v>4</v>
      </c>
    </row>
    <row r="45" spans="1:17">
      <c r="A45" s="407">
        <f t="shared" si="1"/>
        <v>43</v>
      </c>
      <c r="B45" s="323"/>
      <c r="C45" s="364">
        <v>91</v>
      </c>
      <c r="D45" s="364">
        <v>90</v>
      </c>
      <c r="E45" s="364">
        <v>91</v>
      </c>
      <c r="F45" s="364">
        <v>92</v>
      </c>
      <c r="G45" s="364"/>
      <c r="H45" s="364"/>
      <c r="I45" s="364"/>
      <c r="J45" s="364"/>
      <c r="K45" s="364"/>
      <c r="L45" s="364"/>
      <c r="M45" s="364"/>
      <c r="N45" s="364"/>
      <c r="O45" s="431"/>
      <c r="P45" s="407">
        <f t="shared" si="2"/>
        <v>4</v>
      </c>
    </row>
    <row r="46" spans="1:17" s="300" customFormat="1">
      <c r="A46" s="407">
        <f t="shared" si="1"/>
        <v>44</v>
      </c>
      <c r="B46" s="323"/>
      <c r="C46" s="364"/>
      <c r="D46" s="364"/>
      <c r="E46" s="364"/>
      <c r="F46" s="364"/>
      <c r="G46" s="364"/>
      <c r="H46" s="364"/>
      <c r="I46" s="364"/>
      <c r="J46" s="364"/>
      <c r="K46" s="364"/>
      <c r="L46" s="364"/>
      <c r="M46" s="364"/>
      <c r="N46" s="364">
        <v>70</v>
      </c>
      <c r="O46" s="431">
        <v>62</v>
      </c>
      <c r="P46" s="407">
        <f t="shared" si="2"/>
        <v>2</v>
      </c>
      <c r="Q46" s="235"/>
    </row>
    <row r="47" spans="1:17">
      <c r="A47" s="407">
        <f t="shared" si="1"/>
        <v>45</v>
      </c>
      <c r="B47" s="323"/>
      <c r="C47" s="364"/>
      <c r="D47" s="364"/>
      <c r="E47" s="364"/>
      <c r="F47" s="364"/>
      <c r="G47" s="364">
        <v>82</v>
      </c>
      <c r="H47" s="364">
        <v>94</v>
      </c>
      <c r="I47" s="364">
        <v>59</v>
      </c>
      <c r="J47" s="364">
        <v>80</v>
      </c>
      <c r="K47" s="364"/>
      <c r="L47" s="364"/>
      <c r="M47" s="364"/>
      <c r="N47" s="364"/>
      <c r="O47" s="431"/>
      <c r="P47" s="407">
        <f t="shared" si="2"/>
        <v>4</v>
      </c>
    </row>
    <row r="48" spans="1:17">
      <c r="A48" s="407">
        <f t="shared" si="1"/>
        <v>46</v>
      </c>
      <c r="B48" s="323"/>
      <c r="C48" s="364"/>
      <c r="D48" s="364"/>
      <c r="E48" s="364"/>
      <c r="F48" s="364"/>
      <c r="G48" s="364"/>
      <c r="H48" s="364"/>
      <c r="I48" s="364"/>
      <c r="J48" s="364">
        <v>77</v>
      </c>
      <c r="K48" s="364">
        <v>66</v>
      </c>
      <c r="L48" s="364"/>
      <c r="M48" s="364"/>
      <c r="N48" s="364"/>
      <c r="O48" s="431"/>
      <c r="P48" s="407">
        <f t="shared" si="2"/>
        <v>2</v>
      </c>
    </row>
    <row r="49" spans="1:19">
      <c r="A49" s="407">
        <f t="shared" si="1"/>
        <v>47</v>
      </c>
      <c r="B49" s="323"/>
      <c r="C49" s="364">
        <v>92</v>
      </c>
      <c r="D49" s="364">
        <v>76</v>
      </c>
      <c r="E49" s="364">
        <v>97</v>
      </c>
      <c r="F49" s="364">
        <v>76</v>
      </c>
      <c r="G49" s="364"/>
      <c r="H49" s="364"/>
      <c r="I49" s="364"/>
      <c r="J49" s="364"/>
      <c r="K49" s="364"/>
      <c r="L49" s="364"/>
      <c r="M49" s="364"/>
      <c r="N49" s="364"/>
      <c r="O49" s="431"/>
      <c r="P49" s="407">
        <f t="shared" si="2"/>
        <v>4</v>
      </c>
    </row>
    <row r="50" spans="1:19">
      <c r="A50" s="407">
        <f t="shared" si="1"/>
        <v>48</v>
      </c>
      <c r="B50" s="323"/>
      <c r="C50" s="364"/>
      <c r="D50" s="364">
        <v>87</v>
      </c>
      <c r="E50" s="364"/>
      <c r="F50" s="364">
        <v>57</v>
      </c>
      <c r="G50" s="364">
        <v>89</v>
      </c>
      <c r="H50" s="364"/>
      <c r="I50" s="364"/>
      <c r="J50" s="364"/>
      <c r="K50" s="364">
        <v>84</v>
      </c>
      <c r="L50" s="364"/>
      <c r="M50" s="364"/>
      <c r="N50" s="364"/>
      <c r="O50" s="431"/>
      <c r="P50" s="407">
        <f t="shared" si="2"/>
        <v>4</v>
      </c>
    </row>
    <row r="51" spans="1:19">
      <c r="A51" s="364"/>
      <c r="B51" s="324"/>
      <c r="C51" s="427"/>
      <c r="D51" s="428"/>
      <c r="E51" s="428"/>
      <c r="F51" s="428"/>
      <c r="G51" s="428"/>
      <c r="H51" s="428"/>
      <c r="I51" s="428"/>
      <c r="J51" s="428"/>
      <c r="K51" s="428"/>
      <c r="L51" s="428"/>
      <c r="M51" s="427"/>
      <c r="N51" s="427"/>
      <c r="O51" s="432"/>
      <c r="P51" s="407">
        <f t="shared" ref="P51:P52" si="3">COUNTA(C51:O51)</f>
        <v>0</v>
      </c>
    </row>
    <row r="52" spans="1:19">
      <c r="A52" s="364"/>
      <c r="B52" s="324"/>
      <c r="C52" s="428"/>
      <c r="D52" s="427"/>
      <c r="E52" s="427"/>
      <c r="F52" s="427"/>
      <c r="G52" s="427"/>
      <c r="H52" s="428"/>
      <c r="I52" s="428"/>
      <c r="J52" s="428"/>
      <c r="K52" s="428"/>
      <c r="L52" s="428"/>
      <c r="M52" s="428"/>
      <c r="N52" s="428"/>
      <c r="O52" s="433"/>
      <c r="P52" s="407">
        <f t="shared" si="3"/>
        <v>0</v>
      </c>
    </row>
    <row r="54" spans="1:19">
      <c r="A54" s="301" t="s">
        <v>70</v>
      </c>
      <c r="C54" s="325">
        <f t="shared" ref="C54:O54" si="4">AVERAGE(C3:C53)</f>
        <v>86.3</v>
      </c>
      <c r="D54" s="325">
        <f t="shared" si="4"/>
        <v>81.304347826086953</v>
      </c>
      <c r="E54" s="325">
        <f t="shared" si="4"/>
        <v>86.5</v>
      </c>
      <c r="F54" s="325">
        <f t="shared" si="4"/>
        <v>82.409090909090907</v>
      </c>
      <c r="G54" s="325">
        <f t="shared" si="4"/>
        <v>87.84210526315789</v>
      </c>
      <c r="H54" s="325">
        <f t="shared" si="4"/>
        <v>83.277777777777771</v>
      </c>
      <c r="I54" s="325">
        <f t="shared" si="4"/>
        <v>66.25</v>
      </c>
      <c r="J54" s="325">
        <f t="shared" si="4"/>
        <v>76.625</v>
      </c>
      <c r="K54" s="325">
        <f t="shared" si="4"/>
        <v>66.8125</v>
      </c>
      <c r="L54" s="325">
        <f t="shared" si="4"/>
        <v>53.357142857142854</v>
      </c>
      <c r="M54" s="325">
        <f t="shared" si="4"/>
        <v>63.214285714285715</v>
      </c>
      <c r="N54" s="325">
        <f t="shared" si="4"/>
        <v>75.533333333333331</v>
      </c>
      <c r="O54" s="325">
        <f t="shared" si="4"/>
        <v>68.428571428571431</v>
      </c>
    </row>
    <row r="55" spans="1:19">
      <c r="A55" s="301" t="s">
        <v>50</v>
      </c>
      <c r="C55" s="325">
        <f>IF(C54&lt;5, 5,C54)</f>
        <v>86.3</v>
      </c>
      <c r="D55" s="325">
        <f t="shared" ref="D55:L55" si="5">IF(D54&lt;5, 5,D54)</f>
        <v>81.304347826086953</v>
      </c>
      <c r="E55" s="325">
        <f t="shared" si="5"/>
        <v>86.5</v>
      </c>
      <c r="F55" s="325">
        <f t="shared" si="5"/>
        <v>82.409090909090907</v>
      </c>
      <c r="G55" s="325">
        <f t="shared" si="5"/>
        <v>87.84210526315789</v>
      </c>
      <c r="H55" s="325">
        <f t="shared" si="5"/>
        <v>83.277777777777771</v>
      </c>
      <c r="I55" s="325">
        <f t="shared" si="5"/>
        <v>66.25</v>
      </c>
      <c r="J55" s="325">
        <f t="shared" si="5"/>
        <v>76.625</v>
      </c>
      <c r="K55" s="325">
        <f t="shared" si="5"/>
        <v>66.8125</v>
      </c>
      <c r="L55" s="325">
        <f t="shared" si="5"/>
        <v>53.357142857142854</v>
      </c>
      <c r="M55" s="325">
        <f t="shared" ref="M55" si="6">IF(M54&lt;5, 5,M54)</f>
        <v>63.214285714285715</v>
      </c>
      <c r="N55" s="325">
        <f t="shared" ref="N55:O55" si="7">IF(N54&lt;5, 5,N54)</f>
        <v>75.533333333333331</v>
      </c>
      <c r="O55" s="325">
        <f t="shared" si="7"/>
        <v>68.428571428571431</v>
      </c>
    </row>
    <row r="56" spans="1:19">
      <c r="M56" s="158"/>
      <c r="O56" s="434"/>
      <c r="S56" s="300" t="s">
        <v>138</v>
      </c>
    </row>
    <row r="57" spans="1:19">
      <c r="A57" s="301" t="s">
        <v>160</v>
      </c>
      <c r="C57" s="158">
        <f t="shared" ref="C57:O57" si="8">COUNTA(C3:C52)</f>
        <v>20</v>
      </c>
      <c r="D57" s="158">
        <f t="shared" si="8"/>
        <v>23</v>
      </c>
      <c r="E57" s="158">
        <f t="shared" si="8"/>
        <v>20</v>
      </c>
      <c r="F57" s="158">
        <f t="shared" si="8"/>
        <v>22</v>
      </c>
      <c r="G57" s="158">
        <f t="shared" si="8"/>
        <v>19</v>
      </c>
      <c r="H57" s="158">
        <f t="shared" si="8"/>
        <v>18</v>
      </c>
      <c r="I57" s="158">
        <f t="shared" si="8"/>
        <v>16</v>
      </c>
      <c r="J57" s="158">
        <f t="shared" si="8"/>
        <v>16</v>
      </c>
      <c r="K57" s="158">
        <f t="shared" si="8"/>
        <v>16</v>
      </c>
      <c r="L57" s="158">
        <f t="shared" si="8"/>
        <v>14</v>
      </c>
      <c r="M57" s="158">
        <f t="shared" si="8"/>
        <v>14</v>
      </c>
      <c r="N57" s="158">
        <f t="shared" si="8"/>
        <v>15</v>
      </c>
      <c r="O57" s="434">
        <f t="shared" si="8"/>
        <v>15</v>
      </c>
      <c r="S57" s="300" t="s">
        <v>139</v>
      </c>
    </row>
    <row r="58" spans="1:19">
      <c r="B58" s="301"/>
      <c r="C58" s="301">
        <f t="shared" ref="C58:L58" si="9">RANK(C55,$C$55:$O$55)</f>
        <v>3</v>
      </c>
      <c r="D58" s="301">
        <f t="shared" si="9"/>
        <v>6</v>
      </c>
      <c r="E58" s="301">
        <f t="shared" si="9"/>
        <v>2</v>
      </c>
      <c r="F58" s="301">
        <f t="shared" si="9"/>
        <v>5</v>
      </c>
      <c r="G58" s="301">
        <f t="shared" si="9"/>
        <v>1</v>
      </c>
      <c r="H58" s="301">
        <f t="shared" si="9"/>
        <v>4</v>
      </c>
      <c r="I58" s="301">
        <f t="shared" si="9"/>
        <v>11</v>
      </c>
      <c r="J58" s="301">
        <f t="shared" si="9"/>
        <v>7</v>
      </c>
      <c r="K58" s="301">
        <f t="shared" si="9"/>
        <v>10</v>
      </c>
      <c r="L58" s="301">
        <f t="shared" si="9"/>
        <v>13</v>
      </c>
      <c r="M58" s="301">
        <f t="shared" ref="M58" si="10">RANK(M55,$C$55:$O$55)</f>
        <v>12</v>
      </c>
      <c r="N58" s="301">
        <f t="shared" ref="N58:O58" si="11">RANK(N55,$C$55:$O$55)</f>
        <v>8</v>
      </c>
      <c r="O58" s="248">
        <f t="shared" si="11"/>
        <v>9</v>
      </c>
    </row>
  </sheetData>
  <phoneticPr fontId="24" type="noConversion"/>
  <printOptions gridLines="1"/>
  <pageMargins left="0.75" right="0.75" top="1" bottom="1" header="0.5" footer="0.5"/>
  <pageSetup scale="29" orientation="landscape" horizontalDpi="300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C25"/>
  <sheetViews>
    <sheetView zoomScale="75" workbookViewId="0">
      <selection activeCell="B5" sqref="B5:B17"/>
    </sheetView>
  </sheetViews>
  <sheetFormatPr defaultColWidth="8.88671875" defaultRowHeight="13.2"/>
  <cols>
    <col min="1" max="1" width="50.88671875" customWidth="1"/>
  </cols>
  <sheetData>
    <row r="1" spans="1:3" ht="17.399999999999999">
      <c r="A1" s="7" t="s">
        <v>174</v>
      </c>
      <c r="B1" s="6"/>
      <c r="C1" s="6"/>
    </row>
    <row r="2" spans="1:3">
      <c r="A2" s="6"/>
      <c r="B2" s="6"/>
      <c r="C2" s="6"/>
    </row>
    <row r="3" spans="1:3">
      <c r="A3" s="6"/>
      <c r="B3" s="6"/>
      <c r="C3" s="6"/>
    </row>
    <row r="4" spans="1:3">
      <c r="A4" s="24"/>
      <c r="B4" s="23" t="s">
        <v>9</v>
      </c>
      <c r="C4" s="20"/>
    </row>
    <row r="5" spans="1:3" ht="14.4">
      <c r="A5" s="422" t="s">
        <v>186</v>
      </c>
      <c r="B5" s="365">
        <v>50</v>
      </c>
    </row>
    <row r="6" spans="1:3" ht="14.4">
      <c r="A6" s="422" t="s">
        <v>187</v>
      </c>
      <c r="B6" s="365">
        <v>50</v>
      </c>
    </row>
    <row r="7" spans="1:3" ht="14.4">
      <c r="A7" s="423" t="s">
        <v>188</v>
      </c>
      <c r="B7" s="365">
        <v>50</v>
      </c>
    </row>
    <row r="8" spans="1:3" s="223" customFormat="1" ht="14.4">
      <c r="A8" s="422" t="s">
        <v>189</v>
      </c>
      <c r="B8" s="365">
        <v>50</v>
      </c>
    </row>
    <row r="9" spans="1:3" ht="14.4">
      <c r="A9" s="424" t="s">
        <v>190</v>
      </c>
      <c r="B9" s="365">
        <v>50</v>
      </c>
    </row>
    <row r="10" spans="1:3" ht="14.4">
      <c r="A10" s="422" t="s">
        <v>191</v>
      </c>
      <c r="B10" s="365">
        <v>50</v>
      </c>
    </row>
    <row r="11" spans="1:3" ht="14.4">
      <c r="A11" s="422" t="s">
        <v>192</v>
      </c>
      <c r="B11" s="365">
        <v>50</v>
      </c>
    </row>
    <row r="12" spans="1:3" ht="14.4">
      <c r="A12" s="422" t="s">
        <v>193</v>
      </c>
      <c r="B12" s="365">
        <v>50</v>
      </c>
    </row>
    <row r="13" spans="1:3" ht="14.4">
      <c r="A13" s="422" t="s">
        <v>194</v>
      </c>
      <c r="B13" s="365">
        <v>50</v>
      </c>
    </row>
    <row r="14" spans="1:3" s="137" customFormat="1" ht="14.4">
      <c r="A14" s="422" t="s">
        <v>195</v>
      </c>
      <c r="B14" s="365">
        <v>50</v>
      </c>
    </row>
    <row r="15" spans="1:3" ht="14.4">
      <c r="A15" s="422" t="s">
        <v>196</v>
      </c>
      <c r="B15" s="365">
        <v>50</v>
      </c>
    </row>
    <row r="16" spans="1:3" ht="14.4">
      <c r="A16" s="422" t="s">
        <v>197</v>
      </c>
      <c r="B16" s="365">
        <v>50</v>
      </c>
    </row>
    <row r="17" spans="1:2" ht="14.4">
      <c r="A17" s="422" t="s">
        <v>198</v>
      </c>
      <c r="B17" s="365">
        <v>50</v>
      </c>
    </row>
    <row r="18" spans="1:2" ht="14.4">
      <c r="A18" s="351"/>
      <c r="B18" s="359" t="s">
        <v>44</v>
      </c>
    </row>
    <row r="19" spans="1:2">
      <c r="B19" s="300" t="s">
        <v>146</v>
      </c>
    </row>
    <row r="20" spans="1:2">
      <c r="A20" s="22"/>
    </row>
    <row r="21" spans="1:2">
      <c r="A21" s="22"/>
    </row>
    <row r="22" spans="1:2">
      <c r="A22" s="22"/>
    </row>
    <row r="23" spans="1:2">
      <c r="A23" s="22"/>
    </row>
    <row r="24" spans="1:2">
      <c r="A24" s="22"/>
    </row>
    <row r="25" spans="1:2">
      <c r="A25" s="22"/>
    </row>
  </sheetData>
  <phoneticPr fontId="24" type="noConversion"/>
  <printOptions gridLines="1"/>
  <pageMargins left="0.75" right="0.75" top="1" bottom="1" header="0.5" footer="0.5"/>
  <pageSetup orientation="landscape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O34"/>
  <sheetViews>
    <sheetView topLeftCell="A3" workbookViewId="0">
      <selection activeCell="E19" sqref="E19"/>
    </sheetView>
  </sheetViews>
  <sheetFormatPr defaultColWidth="8.88671875" defaultRowHeight="13.2"/>
  <cols>
    <col min="1" max="1" width="25.44140625" customWidth="1"/>
    <col min="2" max="2" width="11.44140625" bestFit="1" customWidth="1"/>
    <col min="3" max="3" width="12.44140625" customWidth="1"/>
    <col min="4" max="4" width="9.109375" hidden="1" customWidth="1"/>
    <col min="5" max="5" width="8.88671875" style="199"/>
    <col min="7" max="7" width="16.44140625" hidden="1" customWidth="1"/>
    <col min="8" max="8" width="11.44140625" customWidth="1"/>
    <col min="9" max="9" width="13.44140625" customWidth="1"/>
    <col min="10" max="10" width="13.109375" customWidth="1"/>
  </cols>
  <sheetData>
    <row r="1" spans="1:15" ht="17.399999999999999">
      <c r="A1" s="7" t="s">
        <v>175</v>
      </c>
      <c r="B1" s="6"/>
      <c r="C1" s="6"/>
      <c r="D1" s="6"/>
    </row>
    <row r="2" spans="1:15" s="64" customFormat="1">
      <c r="A2" s="37"/>
      <c r="B2" s="37"/>
      <c r="C2" s="37"/>
      <c r="D2" s="37"/>
      <c r="E2" s="199"/>
    </row>
    <row r="3" spans="1:15" s="64" customFormat="1">
      <c r="A3" s="37"/>
      <c r="B3" s="65"/>
      <c r="C3" s="78"/>
      <c r="D3" s="37"/>
      <c r="E3" s="199"/>
    </row>
    <row r="4" spans="1:15" s="64" customFormat="1">
      <c r="A4" s="37"/>
      <c r="B4" s="65"/>
      <c r="C4" s="78"/>
      <c r="D4" s="37"/>
      <c r="E4" s="199"/>
    </row>
    <row r="5" spans="1:15" s="64" customFormat="1" ht="17.399999999999999">
      <c r="A5" s="24"/>
      <c r="B5" s="24"/>
      <c r="C5" s="24"/>
      <c r="D5" s="37"/>
      <c r="E5" s="199"/>
      <c r="H5" s="304"/>
    </row>
    <row r="6" spans="1:15" ht="52.8">
      <c r="A6" s="127" t="s">
        <v>117</v>
      </c>
      <c r="B6" s="127"/>
      <c r="C6" s="127" t="s">
        <v>65</v>
      </c>
      <c r="D6" s="127"/>
      <c r="E6" s="262" t="s">
        <v>140</v>
      </c>
      <c r="F6" s="262"/>
      <c r="G6" s="262"/>
      <c r="H6" s="262" t="s">
        <v>114</v>
      </c>
      <c r="I6" s="262" t="s">
        <v>115</v>
      </c>
      <c r="J6" s="262" t="s">
        <v>116</v>
      </c>
      <c r="K6" s="262"/>
      <c r="L6" s="262" t="s">
        <v>143</v>
      </c>
      <c r="M6" s="262" t="s">
        <v>27</v>
      </c>
    </row>
    <row r="7" spans="1:15" ht="14.4">
      <c r="A7" s="422" t="s">
        <v>186</v>
      </c>
      <c r="C7" s="448">
        <v>11516.11</v>
      </c>
      <c r="D7" s="256"/>
      <c r="E7" s="308">
        <f t="shared" ref="E7:E18" si="0">-($B$24*C7)+$B$25</f>
        <v>14.108836492189809</v>
      </c>
      <c r="F7" s="52"/>
      <c r="H7" s="451">
        <v>10</v>
      </c>
      <c r="I7" s="452">
        <v>7</v>
      </c>
      <c r="J7" s="452">
        <v>8</v>
      </c>
      <c r="K7" s="52"/>
      <c r="L7" s="250">
        <f>IF(SUM(E7:J7)&lt;2.5,2.5,SUM(E7:J7))</f>
        <v>39.108836492189809</v>
      </c>
      <c r="M7" s="248">
        <f t="shared" ref="M7:M16" si="1">RANK(L7,$L$7:$L$19)</f>
        <v>3</v>
      </c>
    </row>
    <row r="8" spans="1:15" ht="14.4">
      <c r="A8" s="422" t="s">
        <v>187</v>
      </c>
      <c r="C8" s="448">
        <v>10003</v>
      </c>
      <c r="D8" s="257"/>
      <c r="E8" s="308">
        <f t="shared" si="0"/>
        <v>20</v>
      </c>
      <c r="F8" s="52"/>
      <c r="H8" s="453">
        <v>9</v>
      </c>
      <c r="I8" s="454">
        <v>6</v>
      </c>
      <c r="J8" s="454">
        <v>8</v>
      </c>
      <c r="K8" s="52"/>
      <c r="L8" s="250">
        <f t="shared" ref="L8:L16" si="2">IF(SUM(E8:J8)&lt;2.5,2.5,SUM(E8:J8))</f>
        <v>43</v>
      </c>
      <c r="M8" s="248">
        <f t="shared" si="1"/>
        <v>1</v>
      </c>
    </row>
    <row r="9" spans="1:15" ht="14.4">
      <c r="A9" s="423" t="s">
        <v>188</v>
      </c>
      <c r="C9" s="448">
        <v>11212.3954474272</v>
      </c>
      <c r="D9" s="258"/>
      <c r="E9" s="308">
        <f t="shared" si="0"/>
        <v>15.291322953126411</v>
      </c>
      <c r="F9" s="52"/>
      <c r="H9" s="453">
        <v>9</v>
      </c>
      <c r="I9" s="454">
        <v>5</v>
      </c>
      <c r="J9" s="454">
        <v>8</v>
      </c>
      <c r="K9" s="52"/>
      <c r="L9" s="250">
        <f t="shared" si="2"/>
        <v>37.291322953126411</v>
      </c>
      <c r="M9" s="248">
        <f t="shared" si="1"/>
        <v>5</v>
      </c>
    </row>
    <row r="10" spans="1:15" s="246" customFormat="1" ht="14.4">
      <c r="A10" s="422" t="s">
        <v>189</v>
      </c>
      <c r="B10"/>
      <c r="C10" s="448">
        <v>12692.419999999996</v>
      </c>
      <c r="D10" s="259"/>
      <c r="E10" s="308">
        <f t="shared" si="0"/>
        <v>9.5289747862515881</v>
      </c>
      <c r="F10" s="52"/>
      <c r="G10"/>
      <c r="H10" s="453">
        <v>10</v>
      </c>
      <c r="I10" s="454">
        <v>7</v>
      </c>
      <c r="J10" s="454">
        <v>10</v>
      </c>
      <c r="K10" s="52"/>
      <c r="L10" s="250">
        <f t="shared" si="2"/>
        <v>36.528974786251588</v>
      </c>
      <c r="M10" s="248">
        <f t="shared" si="1"/>
        <v>6</v>
      </c>
    </row>
    <row r="11" spans="1:15" s="246" customFormat="1" ht="14.4">
      <c r="A11" s="424" t="s">
        <v>190</v>
      </c>
      <c r="B11"/>
      <c r="C11" s="448">
        <v>12223.629999999996</v>
      </c>
      <c r="D11" s="258"/>
      <c r="E11" s="308">
        <f t="shared" si="0"/>
        <v>11.354168288922473</v>
      </c>
      <c r="F11" s="52"/>
      <c r="G11"/>
      <c r="H11" s="453">
        <v>10</v>
      </c>
      <c r="I11" s="454">
        <v>10</v>
      </c>
      <c r="J11" s="454">
        <v>10</v>
      </c>
      <c r="K11" s="52"/>
      <c r="L11" s="250">
        <f t="shared" si="2"/>
        <v>41.354168288922473</v>
      </c>
      <c r="M11" s="248">
        <f t="shared" si="1"/>
        <v>2</v>
      </c>
    </row>
    <row r="12" spans="1:15" s="246" customFormat="1" ht="14.4">
      <c r="A12" s="422" t="s">
        <v>191</v>
      </c>
      <c r="B12"/>
      <c r="C12" s="448">
        <v>12387</v>
      </c>
      <c r="D12" s="258"/>
      <c r="E12" s="308">
        <f t="shared" si="0"/>
        <v>10.718101259908735</v>
      </c>
      <c r="F12" s="52"/>
      <c r="G12"/>
      <c r="H12" s="453">
        <v>7</v>
      </c>
      <c r="I12" s="454">
        <v>6</v>
      </c>
      <c r="J12" s="454">
        <v>3</v>
      </c>
      <c r="K12" s="52"/>
      <c r="L12" s="250">
        <f t="shared" si="2"/>
        <v>26.718101259908735</v>
      </c>
      <c r="M12" s="248">
        <f t="shared" si="1"/>
        <v>9</v>
      </c>
    </row>
    <row r="13" spans="1:15" ht="14.4">
      <c r="A13" s="422" t="s">
        <v>192</v>
      </c>
      <c r="C13" s="448">
        <v>14810</v>
      </c>
      <c r="D13" s="256"/>
      <c r="E13" s="308">
        <f t="shared" si="0"/>
        <v>1.284359377676715</v>
      </c>
      <c r="F13" s="52"/>
      <c r="H13" s="453">
        <v>9</v>
      </c>
      <c r="I13" s="454">
        <v>7</v>
      </c>
      <c r="J13" s="454">
        <v>7</v>
      </c>
      <c r="K13" s="52"/>
      <c r="L13" s="250">
        <f t="shared" si="2"/>
        <v>24.284359377676715</v>
      </c>
      <c r="M13" s="248">
        <f t="shared" si="1"/>
        <v>11</v>
      </c>
      <c r="O13" s="199"/>
    </row>
    <row r="14" spans="1:15" ht="14.4">
      <c r="A14" s="422" t="s">
        <v>193</v>
      </c>
      <c r="C14" s="448">
        <v>11899.37</v>
      </c>
      <c r="D14" s="256"/>
      <c r="E14" s="308">
        <f t="shared" si="0"/>
        <v>12.616646680475306</v>
      </c>
      <c r="F14" s="52"/>
      <c r="H14" s="453">
        <v>7</v>
      </c>
      <c r="I14" s="454">
        <v>9</v>
      </c>
      <c r="J14" s="454">
        <v>10</v>
      </c>
      <c r="K14" s="52"/>
      <c r="L14" s="250">
        <f t="shared" si="2"/>
        <v>38.616646680475306</v>
      </c>
      <c r="M14" s="248">
        <f t="shared" si="1"/>
        <v>4</v>
      </c>
    </row>
    <row r="15" spans="1:15" ht="14.4">
      <c r="A15" s="422" t="s">
        <v>194</v>
      </c>
      <c r="C15" s="448">
        <v>13518.34</v>
      </c>
      <c r="D15" s="256"/>
      <c r="E15" s="308">
        <f t="shared" si="0"/>
        <v>6.3133263771004948</v>
      </c>
      <c r="F15" s="52"/>
      <c r="H15" s="453">
        <v>7</v>
      </c>
      <c r="I15" s="454">
        <v>4</v>
      </c>
      <c r="J15" s="454">
        <v>5</v>
      </c>
      <c r="K15" s="52"/>
      <c r="L15" s="250">
        <f t="shared" si="2"/>
        <v>22.313326377100495</v>
      </c>
      <c r="M15" s="248">
        <f t="shared" si="1"/>
        <v>12</v>
      </c>
    </row>
    <row r="16" spans="1:15" ht="14.4">
      <c r="A16" s="422" t="s">
        <v>195</v>
      </c>
      <c r="C16" s="448">
        <v>10838</v>
      </c>
      <c r="D16" s="260"/>
      <c r="E16" s="308">
        <f t="shared" si="0"/>
        <v>16.748999392627432</v>
      </c>
      <c r="F16" s="52"/>
      <c r="H16" s="453">
        <v>6</v>
      </c>
      <c r="I16" s="454">
        <v>4</v>
      </c>
      <c r="J16" s="454">
        <v>3</v>
      </c>
      <c r="K16" s="52"/>
      <c r="L16" s="250">
        <f t="shared" si="2"/>
        <v>29.748999392627432</v>
      </c>
      <c r="M16" s="248">
        <f t="shared" si="1"/>
        <v>8</v>
      </c>
    </row>
    <row r="17" spans="1:15" ht="14.4">
      <c r="A17" s="422" t="s">
        <v>196</v>
      </c>
      <c r="C17" s="448">
        <v>12687.45</v>
      </c>
      <c r="D17" s="261"/>
      <c r="E17" s="308">
        <f t="shared" si="0"/>
        <v>9.5483250533397666</v>
      </c>
      <c r="F17" s="52"/>
      <c r="H17" s="453">
        <v>10</v>
      </c>
      <c r="I17" s="454">
        <v>4</v>
      </c>
      <c r="J17" s="454">
        <v>7</v>
      </c>
      <c r="K17" s="52"/>
      <c r="L17" s="250">
        <f t="shared" ref="L17:L18" si="3">IF(SUM(E17:J17)&lt;2.5,2.5,SUM(E17:J17))</f>
        <v>30.548325053339767</v>
      </c>
      <c r="M17" s="248">
        <f t="shared" ref="M17" si="4">RANK(L17,$L$7:$L$19)</f>
        <v>7</v>
      </c>
    </row>
    <row r="18" spans="1:15" s="137" customFormat="1" ht="14.4">
      <c r="A18" s="422" t="s">
        <v>197</v>
      </c>
      <c r="B18"/>
      <c r="C18" s="448">
        <v>13867.270000000002</v>
      </c>
      <c r="D18" s="258"/>
      <c r="E18" s="308">
        <f t="shared" si="0"/>
        <v>4.954797464608852</v>
      </c>
      <c r="F18" s="52"/>
      <c r="G18"/>
      <c r="H18" s="453">
        <v>6</v>
      </c>
      <c r="I18" s="454">
        <v>6</v>
      </c>
      <c r="J18" s="454">
        <v>9</v>
      </c>
      <c r="K18" s="52"/>
      <c r="L18" s="250">
        <f t="shared" si="3"/>
        <v>25.954797464608852</v>
      </c>
      <c r="M18" s="248">
        <f>RANK(L18,$L$7:$L$19)</f>
        <v>10</v>
      </c>
      <c r="O18" s="140"/>
    </row>
    <row r="19" spans="1:15" s="137" customFormat="1" ht="14.4">
      <c r="A19" s="422" t="s">
        <v>198</v>
      </c>
      <c r="B19"/>
      <c r="C19" s="448">
        <v>15139.88</v>
      </c>
      <c r="D19" s="258"/>
      <c r="E19" s="308">
        <f>-($B$24*C19)+$B$25</f>
        <v>0</v>
      </c>
      <c r="F19" s="52"/>
      <c r="G19"/>
      <c r="H19" s="453">
        <v>7</v>
      </c>
      <c r="I19" s="454">
        <v>5</v>
      </c>
      <c r="J19" s="454">
        <v>6</v>
      </c>
      <c r="K19" s="52"/>
      <c r="L19" s="250">
        <f t="shared" ref="L19" si="5">IF(SUM(E19:J19)&lt;2.5,2.5,SUM(E19:J19))</f>
        <v>18</v>
      </c>
      <c r="M19" s="248">
        <f>RANK(L19,$L$7:$L$19)</f>
        <v>13</v>
      </c>
    </row>
    <row r="20" spans="1:15" ht="14.4">
      <c r="A20" s="281"/>
      <c r="B20" s="56"/>
      <c r="C20" s="301"/>
      <c r="D20" s="6"/>
      <c r="M20" s="305"/>
    </row>
    <row r="21" spans="1:15" ht="14.4">
      <c r="A21" s="309" t="s">
        <v>125</v>
      </c>
      <c r="B21" s="56"/>
      <c r="C21" s="185"/>
      <c r="D21" s="6"/>
      <c r="L21" s="300" t="s">
        <v>145</v>
      </c>
    </row>
    <row r="22" spans="1:15">
      <c r="A22" s="126" t="s">
        <v>126</v>
      </c>
      <c r="B22" s="39"/>
      <c r="C22" s="51"/>
      <c r="D22" s="6"/>
    </row>
    <row r="23" spans="1:15">
      <c r="A23" s="126" t="s">
        <v>127</v>
      </c>
      <c r="B23" s="39"/>
      <c r="C23" s="51"/>
      <c r="D23" s="6"/>
    </row>
    <row r="24" spans="1:15">
      <c r="A24" s="126" t="s">
        <v>128</v>
      </c>
      <c r="B24" s="287">
        <f>20/(B27-B26)</f>
        <v>3.893413901044993E-3</v>
      </c>
      <c r="C24" s="51"/>
      <c r="D24" s="6"/>
    </row>
    <row r="25" spans="1:15">
      <c r="A25" s="126" t="s">
        <v>129</v>
      </c>
      <c r="B25" s="39">
        <f>20+(B24*B26)</f>
        <v>58.945819252153065</v>
      </c>
      <c r="C25" s="51"/>
      <c r="D25" s="6"/>
    </row>
    <row r="26" spans="1:15">
      <c r="A26" s="126" t="s">
        <v>74</v>
      </c>
      <c r="B26" s="285">
        <f>MIN(C7:C19)</f>
        <v>10003</v>
      </c>
      <c r="C26" s="51"/>
      <c r="D26" s="6"/>
    </row>
    <row r="27" spans="1:15">
      <c r="A27" s="48" t="s">
        <v>130</v>
      </c>
      <c r="B27" s="286">
        <f>MAX(C7:C19)</f>
        <v>15139.88</v>
      </c>
      <c r="C27" s="51"/>
      <c r="D27" s="6"/>
    </row>
    <row r="28" spans="1:15">
      <c r="A28" s="48" t="s">
        <v>131</v>
      </c>
      <c r="B28" s="284">
        <v>20</v>
      </c>
      <c r="C28" s="51"/>
      <c r="D28" s="6"/>
    </row>
    <row r="29" spans="1:15">
      <c r="A29" s="48"/>
      <c r="B29" s="39"/>
      <c r="C29" s="51"/>
      <c r="D29" s="6"/>
    </row>
    <row r="30" spans="1:15">
      <c r="A30" s="307" t="s">
        <v>142</v>
      </c>
      <c r="B30" s="39"/>
      <c r="C30" s="51"/>
      <c r="D30" s="6"/>
      <c r="H30" s="300" t="s">
        <v>141</v>
      </c>
    </row>
    <row r="31" spans="1:15">
      <c r="A31" s="49"/>
      <c r="B31" s="39"/>
      <c r="C31" s="51"/>
    </row>
    <row r="32" spans="1:15">
      <c r="A32" s="1"/>
      <c r="B32" s="24"/>
      <c r="C32" s="1"/>
    </row>
    <row r="33" spans="1:3">
      <c r="A33" s="1"/>
      <c r="B33" s="1"/>
      <c r="C33" s="1"/>
    </row>
    <row r="34" spans="1:3">
      <c r="A34" s="1"/>
      <c r="B34" s="1"/>
      <c r="C34" s="1"/>
    </row>
  </sheetData>
  <phoneticPr fontId="24" type="noConversion"/>
  <printOptions gridLines="1"/>
  <pageMargins left="0.75" right="0.75" top="1" bottom="1" header="0.5" footer="0.5"/>
  <pageSetup scale="77" orientation="landscape" horizontalDpi="4294967294" verticalDpi="204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V37"/>
  <sheetViews>
    <sheetView zoomScale="80" zoomScaleNormal="80" workbookViewId="0">
      <selection activeCell="N22" sqref="N22"/>
    </sheetView>
  </sheetViews>
  <sheetFormatPr defaultColWidth="8.88671875" defaultRowHeight="13.2"/>
  <cols>
    <col min="1" max="1" width="33.21875" customWidth="1"/>
    <col min="2" max="16" width="7.6640625" style="371" customWidth="1"/>
    <col min="17" max="17" width="10" style="3" bestFit="1" customWidth="1"/>
    <col min="18" max="18" width="7.44140625" style="3" customWidth="1"/>
    <col min="19" max="19" width="8.88671875" style="3" customWidth="1"/>
  </cols>
  <sheetData>
    <row r="1" spans="1:22" ht="17.399999999999999">
      <c r="A1" s="401" t="s">
        <v>176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0"/>
      <c r="R1" s="31"/>
      <c r="S1" s="30"/>
    </row>
    <row r="2" spans="1:22" ht="21">
      <c r="A2" s="237" t="s">
        <v>44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9"/>
      <c r="M2" s="368"/>
      <c r="N2" s="370"/>
      <c r="O2" s="368"/>
      <c r="P2" s="368"/>
      <c r="Q2" s="42"/>
      <c r="R2" s="168"/>
      <c r="S2" s="42"/>
      <c r="T2" s="300"/>
    </row>
    <row r="3" spans="1:22" s="3" customFormat="1">
      <c r="A3" s="159"/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43" t="s">
        <v>70</v>
      </c>
      <c r="R3" s="43" t="s">
        <v>50</v>
      </c>
      <c r="S3" s="45" t="s">
        <v>27</v>
      </c>
      <c r="T3" s="341"/>
      <c r="U3" s="341"/>
      <c r="V3" s="342"/>
    </row>
    <row r="4" spans="1:22" ht="14.4">
      <c r="A4" s="422" t="s">
        <v>186</v>
      </c>
      <c r="B4" s="381">
        <v>46</v>
      </c>
      <c r="C4" s="382">
        <v>34</v>
      </c>
      <c r="D4" s="382">
        <v>41.5</v>
      </c>
      <c r="E4" s="382">
        <v>39</v>
      </c>
      <c r="F4" s="382">
        <v>33</v>
      </c>
      <c r="G4" s="382">
        <v>33</v>
      </c>
      <c r="H4" s="382">
        <v>40</v>
      </c>
      <c r="I4" s="382">
        <v>47</v>
      </c>
      <c r="J4" s="382"/>
      <c r="K4" s="382"/>
      <c r="L4" s="382"/>
      <c r="M4" s="382"/>
      <c r="N4" s="382"/>
      <c r="O4" s="382"/>
      <c r="P4" s="263"/>
      <c r="Q4" s="417">
        <f>AVERAGE(B4:P4)</f>
        <v>39.1875</v>
      </c>
      <c r="R4" s="306">
        <f>IF(Q4&lt;2.5,2.5,Q4)</f>
        <v>39.1875</v>
      </c>
      <c r="S4" s="46">
        <f t="shared" ref="S4:S16" si="0">RANK(R4,$R$4:$R$16)</f>
        <v>6</v>
      </c>
      <c r="T4" s="343"/>
      <c r="U4" s="343"/>
      <c r="V4" s="344"/>
    </row>
    <row r="5" spans="1:22" ht="14.4">
      <c r="A5" s="422" t="s">
        <v>187</v>
      </c>
      <c r="B5" s="383">
        <v>45</v>
      </c>
      <c r="C5" s="384">
        <v>35</v>
      </c>
      <c r="D5" s="384">
        <v>21</v>
      </c>
      <c r="E5" s="384">
        <v>35</v>
      </c>
      <c r="F5" s="384">
        <v>33</v>
      </c>
      <c r="G5" s="384">
        <v>34.5</v>
      </c>
      <c r="H5" s="384">
        <v>43</v>
      </c>
      <c r="I5" s="384">
        <v>37</v>
      </c>
      <c r="J5" s="384"/>
      <c r="K5" s="384"/>
      <c r="L5" s="384"/>
      <c r="M5" s="384"/>
      <c r="N5" s="384"/>
      <c r="O5" s="384"/>
      <c r="P5" s="263"/>
      <c r="Q5" s="417">
        <f t="shared" ref="Q5:Q16" si="1">AVERAGE(B5:P5)</f>
        <v>35.4375</v>
      </c>
      <c r="R5" s="306">
        <f t="shared" ref="R5:R12" si="2">IF(Q5&lt;2.5,2.5,Q5)</f>
        <v>35.4375</v>
      </c>
      <c r="S5" s="46">
        <f t="shared" si="0"/>
        <v>10</v>
      </c>
      <c r="T5" s="343"/>
      <c r="U5" s="343"/>
      <c r="V5" s="344"/>
    </row>
    <row r="6" spans="1:22" ht="14.4">
      <c r="A6" s="423" t="s">
        <v>188</v>
      </c>
      <c r="B6" s="383">
        <v>49</v>
      </c>
      <c r="C6" s="384">
        <v>41</v>
      </c>
      <c r="D6" s="384">
        <v>33</v>
      </c>
      <c r="E6" s="384">
        <v>44</v>
      </c>
      <c r="F6" s="384">
        <v>37</v>
      </c>
      <c r="G6" s="384">
        <v>39</v>
      </c>
      <c r="H6" s="384">
        <v>36</v>
      </c>
      <c r="I6" s="384">
        <v>39.5</v>
      </c>
      <c r="J6" s="384">
        <v>37</v>
      </c>
      <c r="K6" s="384"/>
      <c r="L6" s="384"/>
      <c r="M6" s="384"/>
      <c r="N6" s="384"/>
      <c r="O6" s="384"/>
      <c r="P6" s="263"/>
      <c r="Q6" s="417">
        <f t="shared" si="1"/>
        <v>39.5</v>
      </c>
      <c r="R6" s="306">
        <f t="shared" si="2"/>
        <v>39.5</v>
      </c>
      <c r="S6" s="46">
        <f t="shared" si="0"/>
        <v>5</v>
      </c>
      <c r="T6" s="343"/>
      <c r="U6" s="343"/>
      <c r="V6" s="344"/>
    </row>
    <row r="7" spans="1:22" s="199" customFormat="1" ht="14.4">
      <c r="A7" s="422" t="s">
        <v>189</v>
      </c>
      <c r="B7" s="383">
        <v>33.5</v>
      </c>
      <c r="C7" s="384">
        <v>46</v>
      </c>
      <c r="D7" s="384">
        <v>36</v>
      </c>
      <c r="E7" s="384">
        <v>37</v>
      </c>
      <c r="F7" s="384">
        <v>41</v>
      </c>
      <c r="G7" s="384">
        <v>35</v>
      </c>
      <c r="H7" s="384">
        <v>36</v>
      </c>
      <c r="I7" s="384">
        <v>36.5</v>
      </c>
      <c r="J7" s="384"/>
      <c r="K7" s="384"/>
      <c r="L7" s="384"/>
      <c r="M7" s="384"/>
      <c r="N7" s="384"/>
      <c r="O7" s="384"/>
      <c r="P7" s="263"/>
      <c r="Q7" s="417">
        <f t="shared" si="1"/>
        <v>37.625</v>
      </c>
      <c r="R7" s="306">
        <f t="shared" si="2"/>
        <v>37.625</v>
      </c>
      <c r="S7" s="46">
        <f t="shared" si="0"/>
        <v>9</v>
      </c>
      <c r="T7" s="343"/>
      <c r="U7" s="343"/>
      <c r="V7" s="344"/>
    </row>
    <row r="8" spans="1:22" ht="14.4">
      <c r="A8" s="424" t="s">
        <v>190</v>
      </c>
      <c r="B8" s="383">
        <v>45.5</v>
      </c>
      <c r="C8" s="384">
        <v>47</v>
      </c>
      <c r="D8" s="384">
        <v>40</v>
      </c>
      <c r="E8" s="384">
        <v>47</v>
      </c>
      <c r="F8" s="384">
        <v>41</v>
      </c>
      <c r="G8" s="384">
        <v>42</v>
      </c>
      <c r="H8" s="384">
        <v>43</v>
      </c>
      <c r="I8" s="384">
        <v>45</v>
      </c>
      <c r="J8" s="384">
        <v>50</v>
      </c>
      <c r="K8" s="384">
        <v>45</v>
      </c>
      <c r="L8" s="384"/>
      <c r="M8" s="384"/>
      <c r="N8" s="384"/>
      <c r="O8" s="384"/>
      <c r="P8" s="263"/>
      <c r="Q8" s="417">
        <f t="shared" si="1"/>
        <v>44.55</v>
      </c>
      <c r="R8" s="306">
        <f t="shared" si="2"/>
        <v>44.55</v>
      </c>
      <c r="S8" s="46">
        <f t="shared" si="0"/>
        <v>2</v>
      </c>
      <c r="T8" s="343"/>
      <c r="U8" s="343"/>
      <c r="V8" s="344"/>
    </row>
    <row r="9" spans="1:22" ht="14.4">
      <c r="A9" s="422" t="s">
        <v>191</v>
      </c>
      <c r="B9" s="383">
        <v>34</v>
      </c>
      <c r="C9" s="384">
        <v>36</v>
      </c>
      <c r="D9" s="384">
        <v>36</v>
      </c>
      <c r="E9" s="384">
        <v>44.5</v>
      </c>
      <c r="F9" s="384">
        <v>39</v>
      </c>
      <c r="G9" s="384">
        <v>39.5</v>
      </c>
      <c r="H9" s="384">
        <v>37</v>
      </c>
      <c r="I9" s="384">
        <v>36</v>
      </c>
      <c r="J9" s="384"/>
      <c r="K9" s="384"/>
      <c r="L9" s="384"/>
      <c r="M9" s="384"/>
      <c r="N9" s="384"/>
      <c r="O9" s="384"/>
      <c r="P9" s="263"/>
      <c r="Q9" s="417">
        <f t="shared" si="1"/>
        <v>37.75</v>
      </c>
      <c r="R9" s="306">
        <f t="shared" si="2"/>
        <v>37.75</v>
      </c>
      <c r="S9" s="46">
        <f t="shared" si="0"/>
        <v>8</v>
      </c>
      <c r="T9" s="343"/>
      <c r="U9" s="343"/>
      <c r="V9" s="344"/>
    </row>
    <row r="10" spans="1:22" ht="14.4">
      <c r="A10" s="422" t="s">
        <v>192</v>
      </c>
      <c r="B10" s="383">
        <v>48</v>
      </c>
      <c r="C10" s="384">
        <v>44</v>
      </c>
      <c r="D10" s="384">
        <v>42</v>
      </c>
      <c r="E10" s="384">
        <v>42</v>
      </c>
      <c r="F10" s="384">
        <v>42</v>
      </c>
      <c r="G10" s="384">
        <v>44</v>
      </c>
      <c r="H10" s="384">
        <v>44</v>
      </c>
      <c r="I10" s="384">
        <v>38</v>
      </c>
      <c r="J10" s="384">
        <v>43</v>
      </c>
      <c r="K10" s="384">
        <v>50</v>
      </c>
      <c r="L10" s="384"/>
      <c r="M10" s="384"/>
      <c r="N10" s="384"/>
      <c r="O10" s="384"/>
      <c r="P10" s="263"/>
      <c r="Q10" s="417">
        <f t="shared" si="1"/>
        <v>43.7</v>
      </c>
      <c r="R10" s="306">
        <f t="shared" si="2"/>
        <v>43.7</v>
      </c>
      <c r="S10" s="46">
        <f t="shared" si="0"/>
        <v>3</v>
      </c>
      <c r="T10" s="343"/>
      <c r="U10" s="343"/>
      <c r="V10" s="344"/>
    </row>
    <row r="11" spans="1:22" ht="14.4">
      <c r="A11" s="422" t="s">
        <v>193</v>
      </c>
      <c r="B11" s="383">
        <v>37</v>
      </c>
      <c r="C11" s="384">
        <v>39.5</v>
      </c>
      <c r="D11" s="384">
        <v>36</v>
      </c>
      <c r="E11" s="384">
        <v>38</v>
      </c>
      <c r="F11" s="384">
        <v>46</v>
      </c>
      <c r="G11" s="384">
        <v>43</v>
      </c>
      <c r="H11" s="384"/>
      <c r="I11" s="384"/>
      <c r="J11" s="384"/>
      <c r="K11" s="384"/>
      <c r="L11" s="384"/>
      <c r="M11" s="384"/>
      <c r="N11" s="384"/>
      <c r="O11" s="384"/>
      <c r="P11" s="263"/>
      <c r="Q11" s="417">
        <f t="shared" si="1"/>
        <v>39.916666666666664</v>
      </c>
      <c r="R11" s="306">
        <f t="shared" si="2"/>
        <v>39.916666666666664</v>
      </c>
      <c r="S11" s="46">
        <f t="shared" si="0"/>
        <v>4</v>
      </c>
      <c r="T11" s="343"/>
      <c r="U11" s="343"/>
      <c r="V11" s="344"/>
    </row>
    <row r="12" spans="1:22" ht="14.4">
      <c r="A12" s="422" t="s">
        <v>194</v>
      </c>
      <c r="B12" s="383">
        <v>46</v>
      </c>
      <c r="C12" s="384">
        <v>47</v>
      </c>
      <c r="D12" s="384">
        <v>49</v>
      </c>
      <c r="E12" s="384">
        <v>44</v>
      </c>
      <c r="F12" s="384">
        <v>44</v>
      </c>
      <c r="G12" s="384">
        <v>45</v>
      </c>
      <c r="H12" s="384">
        <v>43.5</v>
      </c>
      <c r="I12" s="384">
        <v>44</v>
      </c>
      <c r="J12" s="384"/>
      <c r="K12" s="384"/>
      <c r="L12" s="384"/>
      <c r="M12" s="384"/>
      <c r="N12" s="384"/>
      <c r="O12" s="384"/>
      <c r="P12" s="263"/>
      <c r="Q12" s="417">
        <f t="shared" si="1"/>
        <v>45.3125</v>
      </c>
      <c r="R12" s="306">
        <f t="shared" si="2"/>
        <v>45.3125</v>
      </c>
      <c r="S12" s="46">
        <f t="shared" si="0"/>
        <v>1</v>
      </c>
      <c r="T12" s="343"/>
      <c r="U12" s="343"/>
      <c r="V12" s="344"/>
    </row>
    <row r="13" spans="1:22" ht="14.4">
      <c r="A13" s="422" t="s">
        <v>195</v>
      </c>
      <c r="B13" s="383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263"/>
      <c r="Q13" s="417"/>
      <c r="R13" s="306"/>
      <c r="S13" s="46" t="e">
        <f t="shared" si="0"/>
        <v>#N/A</v>
      </c>
      <c r="T13" s="343"/>
      <c r="U13" s="343"/>
      <c r="V13" s="344"/>
    </row>
    <row r="14" spans="1:22" ht="14.4">
      <c r="A14" s="422" t="s">
        <v>196</v>
      </c>
      <c r="B14" s="383">
        <v>42</v>
      </c>
      <c r="C14" s="384">
        <v>38</v>
      </c>
      <c r="D14" s="384">
        <v>41</v>
      </c>
      <c r="E14" s="384">
        <v>36</v>
      </c>
      <c r="F14" s="384">
        <v>40</v>
      </c>
      <c r="G14" s="384">
        <v>33.5</v>
      </c>
      <c r="H14" s="384">
        <v>31</v>
      </c>
      <c r="I14" s="384">
        <v>37</v>
      </c>
      <c r="J14" s="384">
        <v>45</v>
      </c>
      <c r="K14" s="384"/>
      <c r="L14" s="384"/>
      <c r="M14" s="384"/>
      <c r="N14" s="384"/>
      <c r="O14" s="384"/>
      <c r="P14" s="263"/>
      <c r="Q14" s="417">
        <f t="shared" si="1"/>
        <v>38.166666666666664</v>
      </c>
      <c r="R14" s="306">
        <f t="shared" ref="R14:R16" si="3">IF(Q14&lt;2.5,2.5,Q14)</f>
        <v>38.166666666666664</v>
      </c>
      <c r="S14" s="46">
        <f t="shared" si="0"/>
        <v>7</v>
      </c>
      <c r="T14" s="343"/>
      <c r="U14" s="343"/>
      <c r="V14" s="344"/>
    </row>
    <row r="15" spans="1:22" ht="14.4">
      <c r="A15" s="422" t="s">
        <v>197</v>
      </c>
      <c r="B15" s="383">
        <v>39</v>
      </c>
      <c r="C15" s="384">
        <v>40.5</v>
      </c>
      <c r="D15" s="384">
        <v>30</v>
      </c>
      <c r="E15" s="384">
        <v>32</v>
      </c>
      <c r="F15" s="384">
        <v>31</v>
      </c>
      <c r="G15" s="384">
        <v>36</v>
      </c>
      <c r="H15" s="384">
        <v>25</v>
      </c>
      <c r="I15" s="384">
        <v>37</v>
      </c>
      <c r="J15" s="384">
        <v>39.799999999999997</v>
      </c>
      <c r="K15" s="384">
        <v>35</v>
      </c>
      <c r="L15" s="384"/>
      <c r="M15" s="384"/>
      <c r="N15" s="384"/>
      <c r="O15" s="384"/>
      <c r="P15" s="263"/>
      <c r="Q15" s="417">
        <f t="shared" si="1"/>
        <v>34.53</v>
      </c>
      <c r="R15" s="306">
        <f t="shared" si="3"/>
        <v>34.53</v>
      </c>
      <c r="S15" s="46">
        <f t="shared" si="0"/>
        <v>12</v>
      </c>
      <c r="T15" s="343"/>
      <c r="U15" s="343"/>
      <c r="V15" s="344"/>
    </row>
    <row r="16" spans="1:22" ht="14.4">
      <c r="A16" s="422" t="s">
        <v>198</v>
      </c>
      <c r="B16" s="383">
        <v>31</v>
      </c>
      <c r="C16" s="384">
        <v>33</v>
      </c>
      <c r="D16" s="384">
        <v>42</v>
      </c>
      <c r="E16" s="384">
        <v>33</v>
      </c>
      <c r="F16" s="384">
        <v>29</v>
      </c>
      <c r="G16" s="384">
        <v>33.5</v>
      </c>
      <c r="H16" s="384">
        <v>43</v>
      </c>
      <c r="I16" s="384">
        <v>32.5</v>
      </c>
      <c r="J16" s="384"/>
      <c r="K16" s="384"/>
      <c r="L16" s="384"/>
      <c r="M16" s="384"/>
      <c r="N16" s="384"/>
      <c r="O16" s="384"/>
      <c r="P16" s="263"/>
      <c r="Q16" s="417">
        <f t="shared" si="1"/>
        <v>34.625</v>
      </c>
      <c r="R16" s="306">
        <f t="shared" si="3"/>
        <v>34.625</v>
      </c>
      <c r="S16" s="46">
        <f t="shared" si="0"/>
        <v>11</v>
      </c>
    </row>
    <row r="17" spans="2:19"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367"/>
      <c r="M17" s="367"/>
      <c r="N17" s="367"/>
      <c r="O17" s="367"/>
      <c r="P17" s="367"/>
      <c r="Q17" s="41"/>
      <c r="R17" s="41"/>
      <c r="S17" s="41"/>
    </row>
    <row r="18" spans="2:19">
      <c r="R18" s="300" t="s">
        <v>144</v>
      </c>
    </row>
    <row r="20" spans="2:19">
      <c r="B20" s="301" t="s">
        <v>44</v>
      </c>
    </row>
    <row r="29" spans="2:19">
      <c r="B29" s="372"/>
      <c r="C29" s="372"/>
      <c r="D29" s="372"/>
      <c r="E29" s="372"/>
      <c r="F29" s="372"/>
      <c r="G29" s="372"/>
      <c r="H29" s="372"/>
      <c r="I29" s="372"/>
      <c r="J29" s="372"/>
      <c r="K29" s="372"/>
    </row>
    <row r="37" spans="2:11">
      <c r="B37" s="372"/>
      <c r="C37" s="372"/>
      <c r="D37" s="372"/>
      <c r="E37" s="372"/>
      <c r="F37" s="372"/>
      <c r="G37" s="372"/>
      <c r="H37" s="372"/>
      <c r="I37" s="372"/>
      <c r="J37" s="372"/>
      <c r="K37" s="372"/>
    </row>
  </sheetData>
  <phoneticPr fontId="24" type="noConversion"/>
  <printOptions gridLines="1"/>
  <pageMargins left="0.75" right="0.75" top="1" bottom="1" header="0.5" footer="0.5"/>
  <pageSetup scale="75" orientation="landscape" horizontalDpi="4294967293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P24"/>
  <sheetViews>
    <sheetView topLeftCell="A6" zoomScale="90" zoomScaleNormal="90" workbookViewId="0">
      <selection activeCell="E14" sqref="E14"/>
    </sheetView>
  </sheetViews>
  <sheetFormatPr defaultColWidth="8.88671875" defaultRowHeight="13.2"/>
  <cols>
    <col min="1" max="1" width="39.6640625" customWidth="1"/>
    <col min="2" max="2" width="15.21875" customWidth="1"/>
    <col min="3" max="3" width="13.88671875" style="52" bestFit="1" customWidth="1"/>
    <col min="4" max="4" width="10.109375" customWidth="1"/>
    <col min="5" max="5" width="12.44140625" customWidth="1"/>
    <col min="7" max="7" width="10.88671875" style="40" customWidth="1"/>
    <col min="8" max="8" width="61.77734375" style="3" customWidth="1"/>
    <col min="9" max="9" width="41.88671875" customWidth="1"/>
  </cols>
  <sheetData>
    <row r="1" spans="1:16" ht="45">
      <c r="A1" s="7" t="s">
        <v>177</v>
      </c>
      <c r="E1" s="184"/>
      <c r="F1" s="184"/>
    </row>
    <row r="2" spans="1:16" ht="17.399999999999999">
      <c r="A2" s="7"/>
      <c r="B2" s="7"/>
      <c r="C2" s="440"/>
      <c r="D2" s="6" t="s">
        <v>0</v>
      </c>
      <c r="E2" s="123">
        <f>MAX(C10:C22)</f>
        <v>6.5</v>
      </c>
      <c r="F2" s="6" t="s">
        <v>11</v>
      </c>
      <c r="G2" s="385" t="s">
        <v>28</v>
      </c>
      <c r="I2" s="61"/>
    </row>
    <row r="3" spans="1:16">
      <c r="A3" s="6"/>
      <c r="B3" s="6"/>
      <c r="C3" s="441"/>
      <c r="D3" s="6" t="s">
        <v>1</v>
      </c>
      <c r="E3" s="123">
        <f>MIN(C10:C22)</f>
        <v>4.8</v>
      </c>
      <c r="F3" s="6" t="s">
        <v>11</v>
      </c>
      <c r="G3" s="385" t="s">
        <v>29</v>
      </c>
      <c r="I3" s="61"/>
    </row>
    <row r="4" spans="1:16">
      <c r="A4" s="10"/>
      <c r="B4" s="10"/>
      <c r="C4" s="442"/>
      <c r="D4" s="6" t="s">
        <v>13</v>
      </c>
      <c r="E4" s="244">
        <v>92.6</v>
      </c>
      <c r="F4" s="6" t="s">
        <v>12</v>
      </c>
      <c r="G4" s="385" t="s">
        <v>30</v>
      </c>
      <c r="I4" s="61"/>
    </row>
    <row r="5" spans="1:16">
      <c r="A5" s="10"/>
      <c r="B5" s="10"/>
      <c r="C5" s="442"/>
      <c r="D5" s="6" t="s">
        <v>132</v>
      </c>
      <c r="E5" s="244"/>
      <c r="F5" s="6"/>
      <c r="G5" s="385"/>
      <c r="I5" s="61"/>
    </row>
    <row r="6" spans="1:16">
      <c r="A6" s="10"/>
      <c r="B6" s="10"/>
      <c r="C6" s="442"/>
      <c r="D6" s="6" t="s">
        <v>133</v>
      </c>
      <c r="E6" s="244">
        <f>100/(E2-E3)</f>
        <v>58.823529411764703</v>
      </c>
      <c r="F6" s="6"/>
      <c r="G6" s="385"/>
      <c r="I6" s="61"/>
    </row>
    <row r="7" spans="1:16">
      <c r="A7" s="10"/>
      <c r="B7" s="10"/>
      <c r="C7" s="442"/>
      <c r="D7" s="6" t="s">
        <v>134</v>
      </c>
      <c r="E7" s="244">
        <f>(E6*E2)</f>
        <v>382.35294117647055</v>
      </c>
      <c r="F7" s="6"/>
      <c r="G7" s="385"/>
      <c r="I7" s="61"/>
    </row>
    <row r="8" spans="1:16" ht="3" customHeight="1">
      <c r="A8" s="12"/>
      <c r="B8" s="12"/>
      <c r="C8" s="443"/>
      <c r="D8" s="12"/>
      <c r="E8" s="6"/>
      <c r="F8" s="6"/>
      <c r="H8" s="18"/>
      <c r="I8" s="62"/>
      <c r="J8" s="62"/>
    </row>
    <row r="9" spans="1:16" ht="54" customHeight="1">
      <c r="A9" s="11"/>
      <c r="B9" s="38" t="s">
        <v>268</v>
      </c>
      <c r="C9" s="444" t="s">
        <v>49</v>
      </c>
      <c r="D9" s="38" t="s">
        <v>10</v>
      </c>
      <c r="E9" s="35" t="s">
        <v>137</v>
      </c>
      <c r="F9" s="35" t="s">
        <v>27</v>
      </c>
      <c r="G9" s="153" t="s">
        <v>64</v>
      </c>
      <c r="H9" s="2" t="s">
        <v>147</v>
      </c>
      <c r="I9" s="38"/>
      <c r="J9" s="35"/>
      <c r="L9" s="152" t="s">
        <v>44</v>
      </c>
    </row>
    <row r="10" spans="1:16" ht="14.4">
      <c r="A10" s="422" t="s">
        <v>186</v>
      </c>
      <c r="B10" s="329" t="s">
        <v>267</v>
      </c>
      <c r="C10" s="265"/>
      <c r="D10" s="411"/>
      <c r="E10" s="449"/>
      <c r="F10" s="450"/>
      <c r="G10" s="3"/>
      <c r="H10" s="238" t="s">
        <v>203</v>
      </c>
      <c r="I10" s="386"/>
      <c r="J10" s="6"/>
      <c r="L10" s="52" t="s">
        <v>44</v>
      </c>
      <c r="M10" s="64"/>
      <c r="N10" s="64"/>
      <c r="O10" s="64"/>
      <c r="P10" s="64"/>
    </row>
    <row r="11" spans="1:16" ht="14.4">
      <c r="A11" s="422" t="s">
        <v>187</v>
      </c>
      <c r="B11" s="329" t="s">
        <v>267</v>
      </c>
      <c r="C11" s="265"/>
      <c r="D11" s="411"/>
      <c r="E11" s="449"/>
      <c r="F11" s="450"/>
      <c r="G11" s="3"/>
      <c r="H11" s="238" t="s">
        <v>204</v>
      </c>
      <c r="I11" s="386"/>
      <c r="J11" s="6"/>
      <c r="L11" s="52"/>
      <c r="M11" s="64"/>
      <c r="N11" s="64"/>
      <c r="O11" s="64"/>
      <c r="P11" s="64"/>
    </row>
    <row r="12" spans="1:16" ht="14.4">
      <c r="A12" s="423" t="s">
        <v>188</v>
      </c>
      <c r="B12" s="329" t="s">
        <v>267</v>
      </c>
      <c r="C12" s="265">
        <v>5</v>
      </c>
      <c r="D12" s="411">
        <f>+G12/C12</f>
        <v>18.52</v>
      </c>
      <c r="E12" s="449">
        <f t="shared" ref="E12:E22" si="0">100-($E$6*C12)+$E$7</f>
        <v>188.23529411764702</v>
      </c>
      <c r="F12" s="450">
        <f t="shared" ref="F12:F22" si="1">RANK($E12,$E$10:$E$22)</f>
        <v>3</v>
      </c>
      <c r="G12" s="3">
        <v>92.6</v>
      </c>
      <c r="H12" s="301"/>
      <c r="I12" s="386"/>
      <c r="J12" s="6"/>
      <c r="L12" s="52"/>
      <c r="M12" s="64"/>
      <c r="N12" s="64"/>
      <c r="O12" s="64"/>
      <c r="P12" s="64"/>
    </row>
    <row r="13" spans="1:16" s="199" customFormat="1" ht="14.4">
      <c r="A13" s="422" t="s">
        <v>189</v>
      </c>
      <c r="B13" s="329" t="s">
        <v>267</v>
      </c>
      <c r="C13" s="265"/>
      <c r="D13" s="411"/>
      <c r="E13" s="449"/>
      <c r="F13" s="450"/>
      <c r="G13" s="3"/>
      <c r="H13" s="238" t="s">
        <v>204</v>
      </c>
      <c r="I13" s="386"/>
      <c r="J13" s="202"/>
      <c r="L13" s="201"/>
    </row>
    <row r="14" spans="1:16" s="199" customFormat="1" ht="14.4">
      <c r="A14" s="424" t="s">
        <v>190</v>
      </c>
      <c r="B14" s="329" t="s">
        <v>267</v>
      </c>
      <c r="C14" s="265">
        <v>4.8</v>
      </c>
      <c r="D14" s="411">
        <f>+G14/C14</f>
        <v>19.291666666666668</v>
      </c>
      <c r="E14" s="449">
        <f t="shared" si="0"/>
        <v>200</v>
      </c>
      <c r="F14" s="450">
        <f t="shared" si="1"/>
        <v>1</v>
      </c>
      <c r="G14" s="3">
        <v>92.6</v>
      </c>
      <c r="H14" s="301"/>
      <c r="I14" s="386"/>
      <c r="J14" s="202"/>
      <c r="L14" s="201" t="s">
        <v>44</v>
      </c>
    </row>
    <row r="15" spans="1:16" ht="14.4">
      <c r="A15" s="422" t="s">
        <v>191</v>
      </c>
      <c r="B15" s="329" t="s">
        <v>267</v>
      </c>
      <c r="C15" s="265">
        <v>5.0999999999999996</v>
      </c>
      <c r="D15" s="411">
        <f t="shared" ref="D15:D16" si="2">+G15/C15</f>
        <v>18.156862745098039</v>
      </c>
      <c r="E15" s="449">
        <f t="shared" si="0"/>
        <v>182.35294117647061</v>
      </c>
      <c r="F15" s="450">
        <f t="shared" si="1"/>
        <v>4</v>
      </c>
      <c r="G15" s="3">
        <v>92.6</v>
      </c>
      <c r="H15" s="301"/>
      <c r="I15" s="386"/>
      <c r="J15" s="6"/>
      <c r="L15" s="52"/>
      <c r="M15" s="64"/>
      <c r="N15" s="64"/>
      <c r="O15" s="64"/>
      <c r="P15" s="64"/>
    </row>
    <row r="16" spans="1:16" ht="15" customHeight="1">
      <c r="A16" s="422" t="s">
        <v>192</v>
      </c>
      <c r="B16" s="329" t="s">
        <v>267</v>
      </c>
      <c r="C16" s="265">
        <v>6.5</v>
      </c>
      <c r="D16" s="411">
        <f t="shared" si="2"/>
        <v>14.246153846153845</v>
      </c>
      <c r="E16" s="449">
        <f t="shared" si="0"/>
        <v>100</v>
      </c>
      <c r="F16" s="450">
        <f t="shared" si="1"/>
        <v>6</v>
      </c>
      <c r="G16" s="3">
        <v>92.6</v>
      </c>
      <c r="H16" s="421"/>
      <c r="I16" s="386"/>
      <c r="J16" s="6"/>
      <c r="L16" s="52" t="s">
        <v>44</v>
      </c>
      <c r="M16" s="64"/>
      <c r="N16" s="64"/>
      <c r="O16" s="64"/>
      <c r="P16" s="64"/>
    </row>
    <row r="17" spans="1:16" ht="14.4">
      <c r="A17" s="422" t="s">
        <v>193</v>
      </c>
      <c r="B17" s="329" t="s">
        <v>267</v>
      </c>
      <c r="C17" s="265"/>
      <c r="D17" s="411"/>
      <c r="E17" s="449"/>
      <c r="F17" s="450"/>
      <c r="G17" s="3"/>
      <c r="H17" s="238" t="s">
        <v>240</v>
      </c>
      <c r="I17" s="386"/>
      <c r="J17" s="6"/>
      <c r="M17" s="64"/>
      <c r="N17" s="64"/>
      <c r="O17" s="64"/>
      <c r="P17" s="64"/>
    </row>
    <row r="18" spans="1:16" ht="14.4">
      <c r="A18" s="422" t="s">
        <v>194</v>
      </c>
      <c r="B18" s="329" t="s">
        <v>267</v>
      </c>
      <c r="C18" s="265"/>
      <c r="D18" s="411"/>
      <c r="E18" s="449"/>
      <c r="F18" s="450"/>
      <c r="G18" s="3"/>
      <c r="H18" s="238" t="s">
        <v>269</v>
      </c>
      <c r="I18" s="386"/>
      <c r="J18" s="6"/>
      <c r="M18" s="64"/>
      <c r="N18" s="64"/>
      <c r="O18" s="64"/>
      <c r="P18" s="64"/>
    </row>
    <row r="19" spans="1:16" s="156" customFormat="1" ht="14.4">
      <c r="A19" s="422" t="s">
        <v>195</v>
      </c>
      <c r="B19" s="329" t="s">
        <v>267</v>
      </c>
      <c r="C19" s="265"/>
      <c r="D19" s="411"/>
      <c r="E19" s="449"/>
      <c r="F19" s="450"/>
      <c r="G19" s="3"/>
      <c r="H19" s="238" t="s">
        <v>204</v>
      </c>
      <c r="I19" s="386"/>
      <c r="J19" s="157"/>
    </row>
    <row r="20" spans="1:16" s="156" customFormat="1" ht="14.4">
      <c r="A20" s="422" t="s">
        <v>196</v>
      </c>
      <c r="B20" s="329" t="s">
        <v>267</v>
      </c>
      <c r="C20" s="265">
        <v>4.9000000000000004</v>
      </c>
      <c r="D20" s="411">
        <f t="shared" ref="D20" si="3">+G20/C20</f>
        <v>18.897959183673468</v>
      </c>
      <c r="E20" s="449">
        <f t="shared" si="0"/>
        <v>194.11764705882348</v>
      </c>
      <c r="F20" s="450">
        <f t="shared" si="1"/>
        <v>2</v>
      </c>
      <c r="G20" s="3">
        <v>92.6</v>
      </c>
      <c r="H20" s="421"/>
      <c r="J20" s="157"/>
    </row>
    <row r="21" spans="1:16" s="156" customFormat="1" ht="14.4">
      <c r="A21" s="422" t="s">
        <v>197</v>
      </c>
      <c r="B21" s="329" t="s">
        <v>267</v>
      </c>
      <c r="C21" s="265"/>
      <c r="D21" s="411"/>
      <c r="E21" s="449"/>
      <c r="F21" s="450"/>
      <c r="G21" s="3"/>
      <c r="H21" s="238" t="s">
        <v>204</v>
      </c>
      <c r="I21" s="386"/>
      <c r="J21" s="157"/>
    </row>
    <row r="22" spans="1:16" ht="14.4">
      <c r="A22" s="422" t="s">
        <v>198</v>
      </c>
      <c r="B22" s="329" t="s">
        <v>267</v>
      </c>
      <c r="C22" s="265">
        <v>5.9</v>
      </c>
      <c r="D22" s="411">
        <f t="shared" ref="D22" si="4">+G22/C22</f>
        <v>15.694915254237285</v>
      </c>
      <c r="E22" s="449">
        <f t="shared" si="0"/>
        <v>135.29411764705878</v>
      </c>
      <c r="F22" s="450">
        <f t="shared" si="1"/>
        <v>5</v>
      </c>
      <c r="G22" s="3">
        <v>92.6</v>
      </c>
      <c r="H22" s="421"/>
      <c r="I22" s="386"/>
    </row>
    <row r="23" spans="1:16">
      <c r="A23" s="6"/>
      <c r="B23" s="6"/>
      <c r="C23" s="265"/>
      <c r="D23" s="3"/>
      <c r="G23" s="3"/>
      <c r="H23" s="18"/>
    </row>
    <row r="24" spans="1:16">
      <c r="B24" s="310"/>
      <c r="C24" s="265"/>
      <c r="D24" s="3"/>
      <c r="E24" s="412"/>
      <c r="G24" s="3"/>
    </row>
  </sheetData>
  <phoneticPr fontId="24" type="noConversion"/>
  <printOptions gridLines="1"/>
  <pageMargins left="0.75" right="0.75" top="1" bottom="1" header="0.5" footer="0.5"/>
  <pageSetup scale="67" orientation="landscape" horizontalDpi="300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P53"/>
  <sheetViews>
    <sheetView workbookViewId="0">
      <selection activeCell="A15" sqref="A15:XFD15"/>
    </sheetView>
  </sheetViews>
  <sheetFormatPr defaultColWidth="8.88671875" defaultRowHeight="13.2"/>
  <cols>
    <col min="1" max="1" width="40.88671875" customWidth="1"/>
    <col min="2" max="2" width="11" style="52" customWidth="1"/>
    <col min="3" max="3" width="18.44140625" style="64" customWidth="1"/>
    <col min="4" max="4" width="15.109375" customWidth="1"/>
    <col min="5" max="5" width="16.88671875" customWidth="1"/>
    <col min="6" max="6" width="16" style="199" customWidth="1"/>
    <col min="7" max="7" width="15.88671875" customWidth="1"/>
    <col min="8" max="8" width="11.44140625" customWidth="1"/>
    <col min="9" max="9" width="12.33203125" customWidth="1"/>
    <col min="10" max="10" width="10.44140625" customWidth="1"/>
    <col min="11" max="11" width="13.6640625" customWidth="1"/>
    <col min="12" max="12" width="13.33203125" customWidth="1"/>
    <col min="13" max="13" width="12.33203125" customWidth="1"/>
    <col min="14" max="14" width="14.33203125" customWidth="1"/>
    <col min="15" max="15" width="12.6640625" customWidth="1"/>
    <col min="16" max="16" width="12.44140625" customWidth="1"/>
    <col min="17" max="17" width="11" customWidth="1"/>
  </cols>
  <sheetData>
    <row r="1" spans="1:16" ht="17.399999999999999">
      <c r="A1" s="7" t="s">
        <v>178</v>
      </c>
      <c r="B1" s="491"/>
      <c r="C1" s="37"/>
      <c r="D1" s="6"/>
      <c r="E1" s="19"/>
      <c r="F1" s="392" t="s">
        <v>135</v>
      </c>
      <c r="G1" s="243"/>
      <c r="H1" s="9"/>
      <c r="I1" s="6"/>
      <c r="J1" s="6"/>
      <c r="K1" s="6"/>
      <c r="L1" s="6"/>
      <c r="M1" s="6"/>
      <c r="N1" s="6"/>
      <c r="O1" s="6"/>
      <c r="P1" s="6"/>
    </row>
    <row r="2" spans="1:16" s="64" customFormat="1">
      <c r="A2" s="37"/>
      <c r="B2" s="442"/>
      <c r="C2" s="17"/>
      <c r="D2" s="9"/>
      <c r="E2" s="19"/>
      <c r="F2" s="392" t="s">
        <v>119</v>
      </c>
      <c r="G2" s="243"/>
      <c r="H2" s="65"/>
      <c r="I2" s="37"/>
      <c r="J2" s="37"/>
      <c r="K2" s="37"/>
      <c r="L2" s="37"/>
      <c r="M2" s="37"/>
      <c r="N2" s="37"/>
      <c r="O2" s="37"/>
      <c r="P2" s="37"/>
    </row>
    <row r="3" spans="1:16" ht="39.6">
      <c r="A3" s="425" t="s">
        <v>271</v>
      </c>
      <c r="B3" s="392"/>
      <c r="C3" s="390" t="s">
        <v>156</v>
      </c>
      <c r="D3" s="54"/>
      <c r="E3" s="2" t="s">
        <v>36</v>
      </c>
      <c r="F3" s="2" t="s">
        <v>72</v>
      </c>
      <c r="G3" s="2" t="s">
        <v>73</v>
      </c>
      <c r="H3" s="12"/>
      <c r="I3" s="6"/>
      <c r="J3" s="6"/>
      <c r="K3" s="6"/>
      <c r="L3" s="6"/>
      <c r="M3" s="6"/>
      <c r="N3" s="6"/>
      <c r="O3" s="6"/>
      <c r="P3" s="6"/>
    </row>
    <row r="4" spans="1:16">
      <c r="A4" s="6"/>
      <c r="B4" s="492" t="s">
        <v>270</v>
      </c>
      <c r="C4" s="2" t="s">
        <v>50</v>
      </c>
      <c r="D4" s="23"/>
      <c r="E4" s="389" t="s">
        <v>75</v>
      </c>
      <c r="F4" s="2" t="s">
        <v>9</v>
      </c>
      <c r="G4" s="393" t="s">
        <v>50</v>
      </c>
      <c r="H4" s="23" t="s">
        <v>27</v>
      </c>
      <c r="I4" s="23"/>
      <c r="J4" s="20"/>
      <c r="K4" s="20"/>
      <c r="L4" s="5"/>
      <c r="M4" s="5"/>
      <c r="N4" s="5"/>
      <c r="O4" s="5"/>
      <c r="P4" s="2"/>
    </row>
    <row r="5" spans="1:16" ht="14.4">
      <c r="A5" s="422" t="s">
        <v>186</v>
      </c>
      <c r="B5" s="493">
        <v>67</v>
      </c>
      <c r="C5" s="391">
        <f>10^(($B$27-B5)/10)*150</f>
        <v>150</v>
      </c>
      <c r="D5" s="56"/>
      <c r="E5" s="455">
        <v>2</v>
      </c>
      <c r="F5" s="392">
        <f>-($E$20*E5)+$E$21</f>
        <v>112.5</v>
      </c>
      <c r="G5" s="392">
        <f>+C5+F5</f>
        <v>262.5</v>
      </c>
      <c r="H5" s="57">
        <f>RANK(G5, $G$5:$G$17)</f>
        <v>1</v>
      </c>
      <c r="I5" s="29"/>
      <c r="J5" s="18"/>
      <c r="K5" s="56"/>
      <c r="L5" s="18"/>
      <c r="M5" s="18"/>
      <c r="N5" s="3"/>
    </row>
    <row r="6" spans="1:16" ht="14.4">
      <c r="A6" s="422" t="s">
        <v>187</v>
      </c>
      <c r="B6" s="494">
        <v>69</v>
      </c>
      <c r="C6" s="391">
        <f t="shared" ref="C6:C15" si="0">10^(($B$27-B6)/10)*150</f>
        <v>94.643601672028993</v>
      </c>
      <c r="D6" s="56"/>
      <c r="E6" s="455">
        <v>1</v>
      </c>
      <c r="F6" s="392">
        <f t="shared" ref="F6:F15" si="1">-($E$20*E6)+$E$21</f>
        <v>150</v>
      </c>
      <c r="G6" s="392">
        <f t="shared" ref="G6:G17" si="2">+C6+F6</f>
        <v>244.64360167202898</v>
      </c>
      <c r="H6" s="57">
        <f t="shared" ref="H6:H17" si="3">RANK(G6, $G$5:$G$17)</f>
        <v>2</v>
      </c>
      <c r="I6" s="29"/>
      <c r="J6" s="18"/>
      <c r="K6" s="56"/>
      <c r="L6" s="18"/>
      <c r="M6" s="18"/>
      <c r="N6" s="3"/>
    </row>
    <row r="7" spans="1:16" ht="14.4">
      <c r="A7" s="423" t="s">
        <v>188</v>
      </c>
      <c r="B7" s="494">
        <v>71</v>
      </c>
      <c r="C7" s="391">
        <v>7.5</v>
      </c>
      <c r="D7" s="56"/>
      <c r="E7" s="455">
        <v>4</v>
      </c>
      <c r="F7" s="392">
        <f t="shared" si="1"/>
        <v>37.5</v>
      </c>
      <c r="G7" s="392">
        <f t="shared" si="2"/>
        <v>45</v>
      </c>
      <c r="H7" s="57">
        <f t="shared" si="3"/>
        <v>5</v>
      </c>
      <c r="I7" s="29"/>
      <c r="J7" s="18"/>
      <c r="K7" s="56"/>
      <c r="L7" s="18"/>
      <c r="M7" s="18"/>
      <c r="N7" s="3"/>
    </row>
    <row r="8" spans="1:16" s="162" customFormat="1" ht="14.4">
      <c r="A8" s="422" t="s">
        <v>189</v>
      </c>
      <c r="B8" s="494">
        <v>72</v>
      </c>
      <c r="C8" s="391">
        <v>7.5</v>
      </c>
      <c r="D8" s="56"/>
      <c r="E8" s="455" t="s">
        <v>240</v>
      </c>
      <c r="F8" s="392"/>
      <c r="G8" s="392">
        <f t="shared" si="2"/>
        <v>7.5</v>
      </c>
      <c r="H8" s="57">
        <f t="shared" si="3"/>
        <v>7</v>
      </c>
      <c r="I8" s="247"/>
      <c r="J8" s="254"/>
      <c r="K8" s="56"/>
      <c r="L8" s="254"/>
      <c r="M8" s="254"/>
      <c r="N8" s="234"/>
    </row>
    <row r="9" spans="1:16" s="162" customFormat="1" ht="14.4">
      <c r="A9" s="424" t="s">
        <v>190</v>
      </c>
      <c r="B9" s="494">
        <v>73</v>
      </c>
      <c r="C9" s="391">
        <v>7.5</v>
      </c>
      <c r="D9" s="56"/>
      <c r="E9" s="455" t="s">
        <v>240</v>
      </c>
      <c r="F9" s="392"/>
      <c r="G9" s="392">
        <f t="shared" si="2"/>
        <v>7.5</v>
      </c>
      <c r="H9" s="57">
        <f t="shared" si="3"/>
        <v>7</v>
      </c>
      <c r="I9" s="247"/>
      <c r="J9" s="254"/>
      <c r="K9" s="56"/>
      <c r="L9" s="254"/>
      <c r="M9" s="254"/>
      <c r="N9" s="234"/>
    </row>
    <row r="10" spans="1:16" ht="14.4">
      <c r="A10" s="422" t="s">
        <v>191</v>
      </c>
      <c r="B10" s="494">
        <v>73</v>
      </c>
      <c r="C10" s="391">
        <v>7.5</v>
      </c>
      <c r="D10" s="56"/>
      <c r="E10" s="455" t="s">
        <v>240</v>
      </c>
      <c r="F10" s="392"/>
      <c r="G10" s="392">
        <f t="shared" si="2"/>
        <v>7.5</v>
      </c>
      <c r="H10" s="57">
        <f t="shared" si="3"/>
        <v>7</v>
      </c>
      <c r="I10" s="29"/>
      <c r="L10" s="18"/>
      <c r="M10" s="18"/>
      <c r="N10" s="3"/>
    </row>
    <row r="11" spans="1:16" ht="14.4">
      <c r="A11" s="422" t="s">
        <v>192</v>
      </c>
      <c r="B11" s="494">
        <v>72</v>
      </c>
      <c r="C11" s="391">
        <v>7.5</v>
      </c>
      <c r="D11" s="56"/>
      <c r="E11" s="455" t="s">
        <v>240</v>
      </c>
      <c r="F11" s="392"/>
      <c r="G11" s="392">
        <f t="shared" si="2"/>
        <v>7.5</v>
      </c>
      <c r="H11" s="57">
        <f t="shared" si="3"/>
        <v>7</v>
      </c>
      <c r="I11" s="29"/>
      <c r="L11" s="18"/>
      <c r="M11" s="18"/>
      <c r="N11" s="3"/>
    </row>
    <row r="12" spans="1:16" ht="14.4">
      <c r="A12" s="422" t="s">
        <v>193</v>
      </c>
      <c r="B12" s="494">
        <v>80</v>
      </c>
      <c r="C12" s="391">
        <f t="shared" si="0"/>
        <v>7.5178085044090812</v>
      </c>
      <c r="D12" s="56"/>
      <c r="E12" s="455" t="s">
        <v>240</v>
      </c>
      <c r="F12" s="392"/>
      <c r="G12" s="392">
        <f t="shared" si="2"/>
        <v>7.5178085044090812</v>
      </c>
      <c r="H12" s="57">
        <f t="shared" si="3"/>
        <v>6</v>
      </c>
      <c r="I12" s="29"/>
      <c r="J12" s="18"/>
      <c r="K12" s="56"/>
      <c r="L12" s="18"/>
      <c r="M12" s="18"/>
      <c r="N12" s="3"/>
    </row>
    <row r="13" spans="1:16" ht="14.4">
      <c r="A13" s="422" t="s">
        <v>194</v>
      </c>
      <c r="B13" s="494">
        <v>69</v>
      </c>
      <c r="C13" s="391">
        <f t="shared" si="0"/>
        <v>94.643601672028993</v>
      </c>
      <c r="D13" s="56"/>
      <c r="E13" s="455">
        <v>5</v>
      </c>
      <c r="F13" s="392">
        <f t="shared" si="1"/>
        <v>0</v>
      </c>
      <c r="G13" s="392">
        <f t="shared" si="2"/>
        <v>94.643601672028993</v>
      </c>
      <c r="H13" s="57">
        <f t="shared" si="3"/>
        <v>4</v>
      </c>
      <c r="I13" s="29"/>
      <c r="J13" s="18"/>
      <c r="K13" s="56"/>
      <c r="L13" s="18"/>
      <c r="M13" s="18"/>
      <c r="N13" s="3"/>
    </row>
    <row r="14" spans="1:16" ht="14.4">
      <c r="A14" s="422" t="s">
        <v>195</v>
      </c>
      <c r="B14" s="494" t="s">
        <v>240</v>
      </c>
      <c r="C14" s="391">
        <v>0</v>
      </c>
      <c r="D14" s="56"/>
      <c r="E14" s="455" t="s">
        <v>240</v>
      </c>
      <c r="F14" s="392"/>
      <c r="G14" s="392">
        <f t="shared" si="2"/>
        <v>0</v>
      </c>
      <c r="H14" s="57">
        <f t="shared" si="3"/>
        <v>12</v>
      </c>
      <c r="I14" s="29"/>
      <c r="J14" s="18"/>
      <c r="K14" s="56"/>
      <c r="L14" s="18"/>
      <c r="M14" s="18"/>
      <c r="N14" s="3"/>
    </row>
    <row r="15" spans="1:16" ht="14.4">
      <c r="A15" s="422" t="s">
        <v>196</v>
      </c>
      <c r="B15" s="494">
        <v>68</v>
      </c>
      <c r="C15" s="391">
        <f t="shared" si="0"/>
        <v>119.14923520864222</v>
      </c>
      <c r="D15" s="56"/>
      <c r="E15" s="455">
        <v>3</v>
      </c>
      <c r="F15" s="392">
        <f t="shared" si="1"/>
        <v>75</v>
      </c>
      <c r="G15" s="392">
        <f t="shared" si="2"/>
        <v>194.14923520864221</v>
      </c>
      <c r="H15" s="57">
        <f t="shared" si="3"/>
        <v>3</v>
      </c>
      <c r="I15" s="29"/>
      <c r="J15" s="18"/>
      <c r="K15" s="56"/>
      <c r="L15" s="18"/>
      <c r="M15" s="18"/>
      <c r="N15" s="3"/>
    </row>
    <row r="16" spans="1:16" s="137" customFormat="1" ht="14.4">
      <c r="A16" s="422" t="s">
        <v>197</v>
      </c>
      <c r="B16" s="494" t="s">
        <v>240</v>
      </c>
      <c r="C16" s="391">
        <v>0</v>
      </c>
      <c r="D16" s="56"/>
      <c r="E16" s="455" t="s">
        <v>240</v>
      </c>
      <c r="F16" s="392"/>
      <c r="G16" s="392">
        <f t="shared" si="2"/>
        <v>0</v>
      </c>
      <c r="H16" s="57">
        <f t="shared" si="3"/>
        <v>12</v>
      </c>
      <c r="I16" s="143"/>
      <c r="J16" s="138"/>
      <c r="K16" s="144"/>
      <c r="L16" s="138"/>
      <c r="M16" s="138"/>
      <c r="N16" s="136"/>
    </row>
    <row r="17" spans="1:12" s="137" customFormat="1" ht="14.4">
      <c r="A17" s="422" t="s">
        <v>198</v>
      </c>
      <c r="B17" s="494">
        <v>73</v>
      </c>
      <c r="C17" s="391">
        <v>7.5</v>
      </c>
      <c r="D17" s="56"/>
      <c r="E17" s="455" t="s">
        <v>240</v>
      </c>
      <c r="F17" s="392"/>
      <c r="G17" s="392">
        <f t="shared" si="2"/>
        <v>7.5</v>
      </c>
      <c r="H17" s="57">
        <f t="shared" si="3"/>
        <v>7</v>
      </c>
      <c r="I17" s="130"/>
    </row>
    <row r="18" spans="1:12">
      <c r="B18" s="495"/>
      <c r="C18" s="68"/>
      <c r="D18" s="68" t="s">
        <v>149</v>
      </c>
      <c r="E18" s="169">
        <f>MIN(E5:E17)</f>
        <v>1</v>
      </c>
      <c r="F18" s="291"/>
      <c r="G18" s="53"/>
      <c r="H18" s="53"/>
      <c r="I18" s="4"/>
      <c r="J18" s="67"/>
      <c r="K18" s="69"/>
      <c r="L18" s="1"/>
    </row>
    <row r="19" spans="1:12">
      <c r="A19" s="165" t="s">
        <v>199</v>
      </c>
      <c r="B19" s="496">
        <v>67</v>
      </c>
      <c r="C19" s="71"/>
      <c r="D19" s="71" t="s">
        <v>151</v>
      </c>
      <c r="E19" s="169">
        <f>MAX(E5:E17)</f>
        <v>5</v>
      </c>
      <c r="F19" s="288"/>
      <c r="G19" s="71"/>
      <c r="H19" s="72"/>
      <c r="I19" s="4"/>
      <c r="J19" s="1"/>
      <c r="K19" s="1"/>
      <c r="L19" s="1"/>
    </row>
    <row r="20" spans="1:12">
      <c r="A20" s="165" t="s">
        <v>200</v>
      </c>
      <c r="B20" s="497">
        <v>71</v>
      </c>
      <c r="C20" s="71"/>
      <c r="D20" s="71" t="s">
        <v>148</v>
      </c>
      <c r="E20" s="71">
        <f>150/(E19-E18)</f>
        <v>37.5</v>
      </c>
      <c r="F20" s="288"/>
      <c r="G20" s="71"/>
      <c r="H20" s="72"/>
      <c r="I20" s="4"/>
      <c r="J20" s="1"/>
      <c r="K20" s="1"/>
      <c r="L20" s="1"/>
    </row>
    <row r="21" spans="1:12">
      <c r="A21" s="280"/>
      <c r="B21" s="496"/>
      <c r="C21" s="71"/>
      <c r="D21" s="71" t="s">
        <v>150</v>
      </c>
      <c r="E21" s="71">
        <f>E20*E19</f>
        <v>187.5</v>
      </c>
      <c r="F21" s="288"/>
      <c r="G21" s="71"/>
      <c r="H21" s="72"/>
      <c r="I21" s="4"/>
      <c r="J21" s="1"/>
      <c r="K21" s="1"/>
      <c r="L21" s="1"/>
    </row>
    <row r="22" spans="1:12">
      <c r="A22" s="317"/>
      <c r="B22" s="496"/>
      <c r="C22" s="71"/>
      <c r="D22" s="71"/>
      <c r="E22" s="71"/>
      <c r="F22" s="288"/>
      <c r="G22" s="71"/>
      <c r="H22" s="72"/>
      <c r="I22" s="4"/>
      <c r="J22" s="1"/>
      <c r="K22" s="1"/>
      <c r="L22" s="1"/>
    </row>
    <row r="23" spans="1:12">
      <c r="A23" s="293"/>
      <c r="B23" s="496"/>
      <c r="C23" s="71"/>
      <c r="D23" s="71"/>
      <c r="E23" s="71"/>
      <c r="F23" s="288"/>
      <c r="G23" s="71"/>
      <c r="H23" s="72"/>
      <c r="I23" s="4"/>
      <c r="J23" s="1"/>
      <c r="K23" s="1"/>
      <c r="L23" s="1"/>
    </row>
    <row r="24" spans="1:12">
      <c r="A24" s="293"/>
      <c r="B24" s="496"/>
      <c r="C24" s="71"/>
      <c r="D24" s="71"/>
      <c r="F24" s="288"/>
      <c r="G24" s="71"/>
      <c r="H24" s="72"/>
      <c r="I24" s="4"/>
      <c r="J24" s="1"/>
      <c r="K24" s="1"/>
      <c r="L24" s="1"/>
    </row>
    <row r="25" spans="1:12">
      <c r="A25" s="293"/>
      <c r="B25" s="319" t="s">
        <v>157</v>
      </c>
      <c r="C25" s="71"/>
      <c r="D25" s="71"/>
      <c r="F25" s="288"/>
      <c r="G25" s="71"/>
      <c r="H25" s="72"/>
      <c r="I25" s="4"/>
      <c r="J25" s="1"/>
      <c r="K25" s="1"/>
      <c r="L25" s="1"/>
    </row>
    <row r="26" spans="1:12">
      <c r="A26" s="70"/>
      <c r="B26" s="498" t="s">
        <v>117</v>
      </c>
      <c r="C26" s="311" t="s">
        <v>50</v>
      </c>
      <c r="D26" s="71"/>
      <c r="E26" s="71"/>
      <c r="F26" s="288"/>
      <c r="G26" s="71"/>
      <c r="H26" s="72"/>
      <c r="I26" s="4"/>
      <c r="J26" s="1"/>
      <c r="K26" s="1"/>
      <c r="L26" s="1"/>
    </row>
    <row r="27" spans="1:12">
      <c r="A27" s="312" t="s">
        <v>152</v>
      </c>
      <c r="B27" s="499">
        <f>B19</f>
        <v>67</v>
      </c>
      <c r="C27" s="220">
        <f>10^(($B$27-B27)/10)*150</f>
        <v>150</v>
      </c>
      <c r="D27" s="319" t="s">
        <v>158</v>
      </c>
      <c r="E27" s="71"/>
      <c r="F27" s="288"/>
      <c r="G27" s="71"/>
      <c r="H27" s="72"/>
      <c r="I27" s="4"/>
      <c r="J27" s="1"/>
      <c r="K27" s="1"/>
      <c r="L27" s="1"/>
    </row>
    <row r="28" spans="1:12">
      <c r="A28" s="70"/>
      <c r="B28" s="499">
        <f>B27+0.5</f>
        <v>67.5</v>
      </c>
      <c r="C28" s="220">
        <f t="shared" ref="C28:C43" si="4">10^(($B$27-B28)/10)*150</f>
        <v>133.68764072006181</v>
      </c>
      <c r="D28" s="71"/>
      <c r="E28" s="71"/>
      <c r="F28" s="288"/>
      <c r="G28" s="71"/>
      <c r="H28" s="72"/>
      <c r="I28" s="4"/>
      <c r="J28" s="1"/>
      <c r="K28" s="1"/>
      <c r="L28" s="1"/>
    </row>
    <row r="29" spans="1:12">
      <c r="A29" s="70"/>
      <c r="B29" s="499">
        <f t="shared" ref="B29:B43" si="5">B28+0.5</f>
        <v>68</v>
      </c>
      <c r="C29" s="220">
        <f t="shared" si="4"/>
        <v>119.14923520864222</v>
      </c>
      <c r="D29" s="71"/>
      <c r="E29" s="71"/>
      <c r="F29" s="288"/>
      <c r="G29" s="71"/>
      <c r="H29" s="72"/>
      <c r="I29" s="4"/>
      <c r="J29" s="1"/>
      <c r="K29" s="1"/>
      <c r="L29" s="1"/>
    </row>
    <row r="30" spans="1:12">
      <c r="A30" s="70"/>
      <c r="B30" s="499">
        <f t="shared" si="5"/>
        <v>68.5</v>
      </c>
      <c r="C30" s="220">
        <f t="shared" si="4"/>
        <v>106.19186765762069</v>
      </c>
      <c r="D30" s="71"/>
      <c r="E30" s="71"/>
      <c r="F30" s="288"/>
      <c r="G30" s="71"/>
      <c r="H30" s="72"/>
      <c r="I30" s="4"/>
      <c r="J30" s="1"/>
      <c r="K30" s="1"/>
      <c r="L30" s="1"/>
    </row>
    <row r="31" spans="1:12">
      <c r="A31" s="70"/>
      <c r="B31" s="499">
        <f t="shared" si="5"/>
        <v>69</v>
      </c>
      <c r="C31" s="220">
        <f t="shared" si="4"/>
        <v>94.643601672028993</v>
      </c>
      <c r="D31" s="71"/>
      <c r="E31" s="71"/>
      <c r="F31" s="288"/>
      <c r="G31" s="71"/>
      <c r="H31" s="72"/>
      <c r="I31" s="4"/>
      <c r="J31" s="1"/>
      <c r="K31" s="1"/>
      <c r="L31" s="1"/>
    </row>
    <row r="32" spans="1:12">
      <c r="A32" s="70"/>
      <c r="B32" s="499">
        <f t="shared" si="5"/>
        <v>69.5</v>
      </c>
      <c r="C32" s="220">
        <f t="shared" si="4"/>
        <v>84.351198778552359</v>
      </c>
      <c r="D32" s="71"/>
      <c r="E32" s="71"/>
      <c r="F32" s="288"/>
      <c r="G32" s="71"/>
      <c r="H32" s="72"/>
      <c r="I32" s="4"/>
      <c r="J32" s="1"/>
      <c r="K32" s="1"/>
      <c r="L32" s="1"/>
    </row>
    <row r="33" spans="1:12">
      <c r="A33" s="70"/>
      <c r="B33" s="499">
        <f t="shared" si="5"/>
        <v>70</v>
      </c>
      <c r="C33" s="220">
        <f t="shared" si="4"/>
        <v>75.178085044090835</v>
      </c>
      <c r="D33" s="164"/>
      <c r="E33" s="71"/>
      <c r="F33" s="292"/>
      <c r="G33" s="165"/>
      <c r="H33" s="72"/>
      <c r="I33" s="4"/>
      <c r="J33" s="1"/>
      <c r="K33" s="1"/>
      <c r="L33" s="1"/>
    </row>
    <row r="34" spans="1:12">
      <c r="A34" s="70"/>
      <c r="B34" s="499">
        <f t="shared" si="5"/>
        <v>70.5</v>
      </c>
      <c r="C34" s="220">
        <f t="shared" si="4"/>
        <v>67.002538822644468</v>
      </c>
      <c r="D34" s="71"/>
      <c r="E34" s="71"/>
      <c r="F34" s="288"/>
      <c r="G34" s="71"/>
      <c r="H34" s="72"/>
      <c r="I34" s="4"/>
      <c r="J34" s="1"/>
      <c r="K34" s="1"/>
      <c r="L34" s="1"/>
    </row>
    <row r="35" spans="1:12">
      <c r="A35" s="1"/>
      <c r="B35" s="499">
        <f t="shared" si="5"/>
        <v>71</v>
      </c>
      <c r="C35" s="220">
        <f t="shared" si="4"/>
        <v>59.716075583024583</v>
      </c>
      <c r="D35" s="1"/>
      <c r="E35" s="1"/>
      <c r="F35" s="289"/>
      <c r="G35" s="1"/>
      <c r="H35" s="1"/>
      <c r="I35" s="4"/>
      <c r="J35" s="1"/>
      <c r="K35" s="1"/>
      <c r="L35" s="1"/>
    </row>
    <row r="36" spans="1:12">
      <c r="A36" s="1"/>
      <c r="B36" s="499">
        <f t="shared" si="5"/>
        <v>71.5</v>
      </c>
      <c r="C36" s="220">
        <f t="shared" si="4"/>
        <v>53.222008385036311</v>
      </c>
      <c r="D36" s="4"/>
      <c r="E36" s="4"/>
      <c r="F36" s="290"/>
      <c r="G36" s="4"/>
      <c r="H36" s="4"/>
      <c r="I36" s="4"/>
      <c r="J36" s="1"/>
      <c r="K36" s="1"/>
      <c r="L36" s="1"/>
    </row>
    <row r="37" spans="1:12">
      <c r="B37" s="499">
        <f t="shared" si="5"/>
        <v>72</v>
      </c>
      <c r="C37" s="220">
        <f t="shared" si="4"/>
        <v>47.434164902525694</v>
      </c>
      <c r="D37" s="4"/>
      <c r="E37" s="4"/>
      <c r="F37" s="290"/>
      <c r="G37" s="4"/>
      <c r="H37" s="4"/>
      <c r="I37" s="4"/>
    </row>
    <row r="38" spans="1:12">
      <c r="B38" s="499">
        <f t="shared" si="5"/>
        <v>72.5</v>
      </c>
      <c r="C38" s="220">
        <f t="shared" si="4"/>
        <v>42.2757439689668</v>
      </c>
      <c r="D38" s="4"/>
      <c r="E38" s="4"/>
      <c r="F38" s="290"/>
      <c r="G38" s="4"/>
      <c r="H38" s="4"/>
      <c r="I38" s="4"/>
    </row>
    <row r="39" spans="1:12">
      <c r="B39" s="499">
        <f t="shared" si="5"/>
        <v>73</v>
      </c>
      <c r="C39" s="220">
        <f t="shared" si="4"/>
        <v>37.678296472643702</v>
      </c>
      <c r="D39" s="4"/>
      <c r="E39" s="4"/>
      <c r="F39" s="290"/>
      <c r="G39" s="4"/>
      <c r="H39" s="4"/>
      <c r="I39" s="4"/>
    </row>
    <row r="40" spans="1:12">
      <c r="B40" s="499">
        <f t="shared" si="5"/>
        <v>73.5</v>
      </c>
      <c r="C40" s="220">
        <f t="shared" si="4"/>
        <v>33.580817078525087</v>
      </c>
      <c r="D40" s="4"/>
      <c r="E40" s="4"/>
      <c r="F40" s="290"/>
      <c r="G40" s="4"/>
      <c r="H40" s="4"/>
      <c r="I40" s="4"/>
    </row>
    <row r="41" spans="1:12">
      <c r="B41" s="499">
        <f t="shared" si="5"/>
        <v>74</v>
      </c>
      <c r="C41" s="220">
        <f t="shared" si="4"/>
        <v>29.928934724533192</v>
      </c>
      <c r="D41" s="4"/>
      <c r="E41" s="4"/>
      <c r="F41" s="290"/>
      <c r="G41" s="4"/>
      <c r="H41" s="4"/>
      <c r="I41" s="4"/>
    </row>
    <row r="42" spans="1:12">
      <c r="B42" s="499">
        <f t="shared" si="5"/>
        <v>74.5</v>
      </c>
      <c r="C42" s="220">
        <f t="shared" si="4"/>
        <v>26.674191150583834</v>
      </c>
      <c r="D42" s="4"/>
      <c r="E42" s="4"/>
      <c r="F42" s="290"/>
      <c r="G42" s="4"/>
      <c r="H42" s="4"/>
      <c r="I42" s="4"/>
    </row>
    <row r="43" spans="1:12">
      <c r="A43" s="302" t="s">
        <v>153</v>
      </c>
      <c r="B43" s="499">
        <f t="shared" si="5"/>
        <v>75</v>
      </c>
      <c r="C43" s="220">
        <f t="shared" si="4"/>
        <v>23.773397886916698</v>
      </c>
      <c r="D43" s="318" t="s">
        <v>159</v>
      </c>
      <c r="E43" s="4"/>
      <c r="F43" s="290"/>
      <c r="G43" s="4"/>
      <c r="H43" s="4"/>
      <c r="I43" s="4"/>
    </row>
    <row r="44" spans="1:12">
      <c r="B44" s="499"/>
      <c r="C44" s="303"/>
      <c r="D44" s="4"/>
      <c r="E44" s="4"/>
      <c r="F44" s="290"/>
      <c r="G44" s="4"/>
      <c r="H44" s="4"/>
      <c r="I44" s="4"/>
    </row>
    <row r="45" spans="1:12">
      <c r="B45" s="499"/>
      <c r="C45" s="303"/>
      <c r="D45" s="4"/>
      <c r="E45" s="4"/>
      <c r="F45" s="290"/>
      <c r="G45" s="4"/>
      <c r="H45" s="4"/>
      <c r="I45" s="4"/>
    </row>
    <row r="46" spans="1:12">
      <c r="B46" s="496"/>
      <c r="C46" s="189"/>
      <c r="D46" s="4"/>
      <c r="E46" s="4"/>
      <c r="F46" s="290"/>
      <c r="G46" s="4"/>
      <c r="H46" s="4"/>
      <c r="I46" s="4"/>
    </row>
    <row r="47" spans="1:12">
      <c r="B47" s="496"/>
      <c r="C47" s="189"/>
      <c r="D47" s="4"/>
      <c r="E47" s="4"/>
      <c r="F47" s="290"/>
      <c r="G47" s="4"/>
      <c r="H47" s="4"/>
      <c r="I47" s="4"/>
    </row>
    <row r="48" spans="1:12">
      <c r="B48" s="496"/>
      <c r="C48" s="189"/>
      <c r="D48" s="4"/>
      <c r="E48" s="4"/>
      <c r="F48" s="290"/>
      <c r="G48" s="4"/>
      <c r="H48" s="4"/>
      <c r="I48" s="4"/>
    </row>
    <row r="49" spans="2:9">
      <c r="B49" s="496"/>
      <c r="C49" s="189"/>
      <c r="D49" s="4"/>
      <c r="E49" s="4"/>
      <c r="F49" s="290"/>
      <c r="G49" s="4"/>
      <c r="H49" s="4"/>
      <c r="I49" s="4"/>
    </row>
    <row r="50" spans="2:9">
      <c r="B50" s="496"/>
      <c r="C50" s="189"/>
      <c r="D50" s="4"/>
      <c r="E50" s="4"/>
      <c r="F50" s="290"/>
      <c r="G50" s="4"/>
      <c r="H50" s="4"/>
      <c r="I50" s="4"/>
    </row>
    <row r="51" spans="2:9">
      <c r="B51" s="496"/>
      <c r="C51" s="189"/>
      <c r="D51" s="4"/>
      <c r="E51" s="4"/>
      <c r="F51" s="290"/>
      <c r="G51" s="4"/>
      <c r="H51" s="4"/>
      <c r="I51" s="4"/>
    </row>
    <row r="52" spans="2:9">
      <c r="B52" s="496"/>
    </row>
    <row r="53" spans="2:9">
      <c r="B53" s="496"/>
    </row>
  </sheetData>
  <phoneticPr fontId="24" type="noConversion"/>
  <printOptions gridLines="1"/>
  <pageMargins left="0.75" right="0.75" top="0.5" bottom="0.5" header="0.5" footer="0.5"/>
  <pageSetup scale="79" orientation="landscape" horizontalDpi="4294967294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M19"/>
  <sheetViews>
    <sheetView zoomScale="70" zoomScaleNormal="70" workbookViewId="0">
      <pane xSplit="1" ySplit="3" topLeftCell="I4" activePane="bottomRight" state="frozen"/>
      <selection pane="topRight" activeCell="B1" sqref="B1"/>
      <selection pane="bottomLeft" activeCell="A4" sqref="A4"/>
      <selection pane="bottomRight" activeCell="Y26" sqref="Y26"/>
    </sheetView>
  </sheetViews>
  <sheetFormatPr defaultColWidth="8.88671875" defaultRowHeight="13.2"/>
  <cols>
    <col min="1" max="1" width="32" customWidth="1"/>
    <col min="2" max="2" width="5.6640625" style="3" customWidth="1"/>
    <col min="3" max="18" width="5.6640625" customWidth="1"/>
    <col min="19" max="19" width="6.109375" customWidth="1"/>
    <col min="20" max="36" width="5.6640625" customWidth="1"/>
  </cols>
  <sheetData>
    <row r="1" spans="1:39" ht="34.799999999999997">
      <c r="A1" s="500" t="s">
        <v>179</v>
      </c>
      <c r="B1" s="41"/>
      <c r="C1" s="30"/>
      <c r="D1" s="30"/>
      <c r="E1" s="30"/>
      <c r="F1" s="2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199"/>
      <c r="AL1" s="199"/>
    </row>
    <row r="2" spans="1:39"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414"/>
      <c r="AD2" s="221"/>
      <c r="AE2" s="221"/>
      <c r="AF2" s="221"/>
      <c r="AG2" s="221"/>
      <c r="AH2" s="221"/>
      <c r="AI2" s="221"/>
      <c r="AJ2" s="221"/>
      <c r="AK2" s="199"/>
      <c r="AL2" s="199"/>
    </row>
    <row r="3" spans="1:39" s="64" customFormat="1">
      <c r="A3" s="160"/>
      <c r="B3" s="320">
        <v>1</v>
      </c>
      <c r="C3" s="320">
        <v>2</v>
      </c>
      <c r="D3" s="320">
        <v>3</v>
      </c>
      <c r="E3" s="320">
        <v>4</v>
      </c>
      <c r="F3" s="320">
        <v>5</v>
      </c>
      <c r="G3" s="320">
        <v>6</v>
      </c>
      <c r="H3" s="320">
        <v>7</v>
      </c>
      <c r="I3" s="320">
        <v>8</v>
      </c>
      <c r="J3" s="320">
        <v>9</v>
      </c>
      <c r="K3" s="320">
        <v>10</v>
      </c>
      <c r="L3" s="320">
        <v>11</v>
      </c>
      <c r="M3" s="320">
        <v>12</v>
      </c>
      <c r="N3" s="320">
        <v>13</v>
      </c>
      <c r="O3" s="320">
        <v>14</v>
      </c>
      <c r="P3" s="320">
        <v>15</v>
      </c>
      <c r="Q3" s="320">
        <v>16</v>
      </c>
      <c r="R3" s="320">
        <v>17</v>
      </c>
      <c r="S3" s="320">
        <v>18</v>
      </c>
      <c r="T3" s="320">
        <v>19</v>
      </c>
      <c r="U3" s="320">
        <v>20</v>
      </c>
      <c r="V3" s="320">
        <v>21</v>
      </c>
      <c r="W3" s="320">
        <v>22</v>
      </c>
      <c r="X3" s="320">
        <v>23</v>
      </c>
      <c r="Y3" s="320">
        <v>24</v>
      </c>
      <c r="Z3" s="320">
        <v>25</v>
      </c>
      <c r="AA3" s="320">
        <v>26</v>
      </c>
      <c r="AB3" s="320">
        <v>27</v>
      </c>
      <c r="AC3" s="320">
        <v>28</v>
      </c>
      <c r="AD3" s="320">
        <v>29</v>
      </c>
      <c r="AE3" s="320">
        <v>30</v>
      </c>
      <c r="AF3" s="320">
        <v>31</v>
      </c>
      <c r="AG3" s="320">
        <v>32</v>
      </c>
      <c r="AH3" s="320">
        <v>33</v>
      </c>
      <c r="AI3" s="320">
        <v>34</v>
      </c>
      <c r="AJ3" s="320">
        <v>35</v>
      </c>
      <c r="AK3" s="183" t="s">
        <v>70</v>
      </c>
      <c r="AL3" s="183" t="s">
        <v>50</v>
      </c>
      <c r="AM3" s="161" t="s">
        <v>27</v>
      </c>
    </row>
    <row r="4" spans="1:39" s="64" customFormat="1" ht="14.4">
      <c r="A4" s="422" t="s">
        <v>186</v>
      </c>
      <c r="B4" s="366">
        <v>72.5</v>
      </c>
      <c r="C4" s="445"/>
      <c r="D4" s="445"/>
      <c r="E4" s="445"/>
      <c r="F4" s="445">
        <v>80</v>
      </c>
      <c r="G4" s="445">
        <v>68</v>
      </c>
      <c r="H4" s="445">
        <v>78.5</v>
      </c>
      <c r="I4" s="445">
        <v>67</v>
      </c>
      <c r="J4" s="445">
        <v>85</v>
      </c>
      <c r="K4" s="445">
        <v>85</v>
      </c>
      <c r="L4" s="445">
        <v>69</v>
      </c>
      <c r="M4" s="445">
        <v>90</v>
      </c>
      <c r="N4" s="445">
        <v>72.5</v>
      </c>
      <c r="O4" s="445">
        <v>83</v>
      </c>
      <c r="P4" s="445">
        <v>85</v>
      </c>
      <c r="Q4" s="445">
        <v>83</v>
      </c>
      <c r="R4" s="445">
        <v>80</v>
      </c>
      <c r="S4" s="445">
        <v>73</v>
      </c>
      <c r="T4" s="445">
        <v>77</v>
      </c>
      <c r="U4" s="445"/>
      <c r="V4" s="445">
        <v>71.5</v>
      </c>
      <c r="W4" s="445">
        <v>78</v>
      </c>
      <c r="X4" s="445">
        <v>72.5</v>
      </c>
      <c r="Y4" s="445"/>
      <c r="Z4" s="445">
        <v>72.5</v>
      </c>
      <c r="AA4" s="445">
        <v>77.5</v>
      </c>
      <c r="AB4" s="445">
        <v>75</v>
      </c>
      <c r="AC4" s="445"/>
      <c r="AD4" s="445"/>
      <c r="AE4" s="445">
        <v>80</v>
      </c>
      <c r="AF4" s="501">
        <v>77</v>
      </c>
      <c r="AG4" s="445">
        <v>82</v>
      </c>
      <c r="AH4" s="445">
        <v>75</v>
      </c>
      <c r="AI4" s="445">
        <v>77.5</v>
      </c>
      <c r="AJ4" s="445"/>
      <c r="AK4" s="313">
        <f t="shared" ref="AK4:AK16" si="0">AVERAGE(B4:AJ4)</f>
        <v>77.296296296296291</v>
      </c>
      <c r="AL4" s="313">
        <f>IF(AK4&lt;5,5,AK4)</f>
        <v>77.296296296296291</v>
      </c>
      <c r="AM4" s="221">
        <f t="shared" ref="AM4:AM15" si="1">RANK(AL4,$AL$4:$AL$16)</f>
        <v>2</v>
      </c>
    </row>
    <row r="5" spans="1:39" s="64" customFormat="1" ht="14.4">
      <c r="A5" s="422" t="s">
        <v>187</v>
      </c>
      <c r="B5" s="387">
        <v>52.5</v>
      </c>
      <c r="C5" s="445"/>
      <c r="D5" s="445">
        <v>77.5</v>
      </c>
      <c r="E5" s="445"/>
      <c r="F5" s="445">
        <v>76</v>
      </c>
      <c r="G5" s="445">
        <v>71</v>
      </c>
      <c r="H5" s="445">
        <v>72.5</v>
      </c>
      <c r="I5" s="445">
        <v>74</v>
      </c>
      <c r="J5" s="445">
        <v>75</v>
      </c>
      <c r="K5" s="445">
        <v>62.5</v>
      </c>
      <c r="L5" s="445">
        <v>55</v>
      </c>
      <c r="M5" s="445">
        <v>82.5</v>
      </c>
      <c r="N5" s="445">
        <v>69</v>
      </c>
      <c r="O5" s="445">
        <v>71</v>
      </c>
      <c r="P5" s="445">
        <v>72.5</v>
      </c>
      <c r="Q5" s="445">
        <v>75</v>
      </c>
      <c r="R5" s="445">
        <v>45</v>
      </c>
      <c r="S5" s="445">
        <v>80</v>
      </c>
      <c r="T5" s="445">
        <v>73</v>
      </c>
      <c r="U5" s="445"/>
      <c r="V5" s="445">
        <v>89</v>
      </c>
      <c r="W5" s="445">
        <v>70</v>
      </c>
      <c r="X5" s="445">
        <v>65</v>
      </c>
      <c r="Y5" s="445">
        <v>72.5</v>
      </c>
      <c r="Z5" s="445">
        <v>75</v>
      </c>
      <c r="AA5" s="445">
        <v>72.5</v>
      </c>
      <c r="AB5" s="445">
        <v>52.5</v>
      </c>
      <c r="AC5" s="445"/>
      <c r="AD5" s="445">
        <v>74</v>
      </c>
      <c r="AE5" s="445">
        <v>75</v>
      </c>
      <c r="AF5" s="501">
        <v>70</v>
      </c>
      <c r="AG5" s="445">
        <v>78</v>
      </c>
      <c r="AH5" s="445">
        <v>80</v>
      </c>
      <c r="AI5" s="445">
        <v>90</v>
      </c>
      <c r="AJ5" s="445"/>
      <c r="AK5" s="313">
        <f t="shared" si="0"/>
        <v>71.583333333333329</v>
      </c>
      <c r="AL5" s="313">
        <f>IF(AK5&lt;5,5,AK5)</f>
        <v>71.583333333333329</v>
      </c>
      <c r="AM5" s="221">
        <f t="shared" si="1"/>
        <v>4</v>
      </c>
    </row>
    <row r="6" spans="1:39" s="162" customFormat="1" ht="14.4">
      <c r="A6" s="423" t="s">
        <v>188</v>
      </c>
      <c r="B6" s="387">
        <v>52.5</v>
      </c>
      <c r="C6" s="445"/>
      <c r="D6" s="445">
        <v>76</v>
      </c>
      <c r="E6" s="445"/>
      <c r="F6" s="445">
        <v>80</v>
      </c>
      <c r="G6" s="445">
        <v>67.5</v>
      </c>
      <c r="H6" s="445">
        <v>76</v>
      </c>
      <c r="I6" s="445">
        <v>69</v>
      </c>
      <c r="J6" s="445">
        <v>77.5</v>
      </c>
      <c r="K6" s="445">
        <v>65</v>
      </c>
      <c r="L6" s="445">
        <v>63</v>
      </c>
      <c r="M6" s="445">
        <v>90</v>
      </c>
      <c r="N6" s="445">
        <v>90.5</v>
      </c>
      <c r="O6" s="445">
        <v>55</v>
      </c>
      <c r="P6" s="445">
        <v>70</v>
      </c>
      <c r="Q6" s="445">
        <v>60</v>
      </c>
      <c r="R6" s="445">
        <v>50</v>
      </c>
      <c r="S6" s="445">
        <v>75</v>
      </c>
      <c r="T6" s="445">
        <v>84</v>
      </c>
      <c r="U6" s="445"/>
      <c r="V6" s="445">
        <v>60</v>
      </c>
      <c r="W6" s="445">
        <v>52</v>
      </c>
      <c r="X6" s="445">
        <v>74</v>
      </c>
      <c r="Y6" s="445">
        <v>82.5</v>
      </c>
      <c r="Z6" s="445">
        <v>67.5</v>
      </c>
      <c r="AA6" s="445">
        <v>80</v>
      </c>
      <c r="AB6" s="445">
        <v>65</v>
      </c>
      <c r="AC6" s="445"/>
      <c r="AD6" s="445">
        <v>74</v>
      </c>
      <c r="AE6" s="445">
        <v>85</v>
      </c>
      <c r="AF6" s="501">
        <v>65</v>
      </c>
      <c r="AG6" s="445">
        <v>77</v>
      </c>
      <c r="AH6" s="445">
        <v>73</v>
      </c>
      <c r="AI6" s="445">
        <v>68</v>
      </c>
      <c r="AJ6" s="445"/>
      <c r="AK6" s="313">
        <f t="shared" si="0"/>
        <v>70.8</v>
      </c>
      <c r="AL6" s="313">
        <f t="shared" ref="AL6:AL16" si="2">IF(AK6&lt;5,5,AK6)</f>
        <v>70.8</v>
      </c>
      <c r="AM6" s="221">
        <f t="shared" si="1"/>
        <v>5</v>
      </c>
    </row>
    <row r="7" spans="1:39" s="64" customFormat="1" ht="14.4">
      <c r="A7" s="422" t="s">
        <v>189</v>
      </c>
      <c r="B7" s="387">
        <v>75</v>
      </c>
      <c r="C7" s="445"/>
      <c r="D7" s="445">
        <v>85</v>
      </c>
      <c r="E7" s="445"/>
      <c r="F7" s="445">
        <v>76</v>
      </c>
      <c r="G7" s="445">
        <v>84</v>
      </c>
      <c r="H7" s="445">
        <v>91</v>
      </c>
      <c r="I7" s="445">
        <v>59</v>
      </c>
      <c r="J7" s="445">
        <v>72.5</v>
      </c>
      <c r="K7" s="445">
        <v>85</v>
      </c>
      <c r="L7" s="445">
        <v>70</v>
      </c>
      <c r="M7" s="445">
        <v>95</v>
      </c>
      <c r="N7" s="445">
        <v>70.5</v>
      </c>
      <c r="O7" s="445">
        <v>82</v>
      </c>
      <c r="P7" s="445">
        <v>82.5</v>
      </c>
      <c r="Q7" s="445">
        <v>84</v>
      </c>
      <c r="R7" s="445">
        <v>62.5</v>
      </c>
      <c r="S7" s="445">
        <v>86</v>
      </c>
      <c r="T7" s="445">
        <v>70</v>
      </c>
      <c r="U7" s="445"/>
      <c r="V7" s="445">
        <v>82</v>
      </c>
      <c r="W7" s="445">
        <v>79</v>
      </c>
      <c r="X7" s="445">
        <v>77.5</v>
      </c>
      <c r="Y7" s="445">
        <v>85</v>
      </c>
      <c r="Z7" s="445">
        <v>70</v>
      </c>
      <c r="AA7" s="445">
        <v>80</v>
      </c>
      <c r="AB7" s="445">
        <v>72.5</v>
      </c>
      <c r="AC7" s="445"/>
      <c r="AD7" s="445">
        <v>92.5</v>
      </c>
      <c r="AE7" s="445">
        <v>81</v>
      </c>
      <c r="AF7" s="501">
        <v>73</v>
      </c>
      <c r="AG7" s="445">
        <v>85</v>
      </c>
      <c r="AH7" s="445">
        <v>78</v>
      </c>
      <c r="AI7" s="445">
        <v>77</v>
      </c>
      <c r="AJ7" s="445"/>
      <c r="AK7" s="313">
        <f t="shared" si="0"/>
        <v>78.75</v>
      </c>
      <c r="AL7" s="313">
        <f t="shared" si="2"/>
        <v>78.75</v>
      </c>
      <c r="AM7" s="221">
        <f t="shared" si="1"/>
        <v>1</v>
      </c>
    </row>
    <row r="8" spans="1:39" s="64" customFormat="1" ht="14.4">
      <c r="A8" s="424" t="s">
        <v>190</v>
      </c>
      <c r="B8" s="445">
        <v>75</v>
      </c>
      <c r="C8" s="445"/>
      <c r="D8" s="445">
        <v>77</v>
      </c>
      <c r="E8" s="445"/>
      <c r="F8" s="445">
        <v>81</v>
      </c>
      <c r="G8" s="501">
        <v>57</v>
      </c>
      <c r="H8" s="445">
        <v>77</v>
      </c>
      <c r="I8" s="445">
        <v>74</v>
      </c>
      <c r="J8" s="445">
        <v>82.5</v>
      </c>
      <c r="K8" s="445">
        <v>80</v>
      </c>
      <c r="L8" s="445">
        <v>59</v>
      </c>
      <c r="M8" s="445">
        <v>90</v>
      </c>
      <c r="N8" s="445">
        <v>70.5</v>
      </c>
      <c r="O8" s="445">
        <v>62</v>
      </c>
      <c r="P8" s="445">
        <v>77.5</v>
      </c>
      <c r="Q8" s="445">
        <v>82</v>
      </c>
      <c r="R8" s="445">
        <v>52.5</v>
      </c>
      <c r="S8" s="445">
        <v>52</v>
      </c>
      <c r="T8" s="445">
        <v>68</v>
      </c>
      <c r="U8" s="445">
        <v>56</v>
      </c>
      <c r="V8" s="445">
        <v>41</v>
      </c>
      <c r="W8" s="445">
        <v>42</v>
      </c>
      <c r="X8" s="445">
        <v>62.5</v>
      </c>
      <c r="Y8" s="445">
        <v>80</v>
      </c>
      <c r="Z8" s="445">
        <v>67.5</v>
      </c>
      <c r="AA8" s="445">
        <v>75</v>
      </c>
      <c r="AB8" s="445">
        <v>57.5</v>
      </c>
      <c r="AC8" s="445"/>
      <c r="AD8" s="445">
        <v>64</v>
      </c>
      <c r="AE8" s="445">
        <v>77</v>
      </c>
      <c r="AF8" s="445">
        <v>74</v>
      </c>
      <c r="AG8" s="445"/>
      <c r="AH8" s="445"/>
      <c r="AI8" s="445">
        <v>62.5</v>
      </c>
      <c r="AJ8" s="445"/>
      <c r="AK8" s="313">
        <f t="shared" si="0"/>
        <v>68.137931034482762</v>
      </c>
      <c r="AL8" s="313">
        <f t="shared" si="2"/>
        <v>68.137931034482762</v>
      </c>
      <c r="AM8" s="221">
        <f t="shared" si="1"/>
        <v>7</v>
      </c>
    </row>
    <row r="9" spans="1:39" s="264" customFormat="1" ht="14.4">
      <c r="A9" s="422" t="s">
        <v>191</v>
      </c>
      <c r="B9" s="445">
        <v>74</v>
      </c>
      <c r="C9" s="445"/>
      <c r="D9" s="445">
        <v>69</v>
      </c>
      <c r="E9" s="445"/>
      <c r="F9" s="445">
        <v>71</v>
      </c>
      <c r="G9" s="502">
        <v>76</v>
      </c>
      <c r="H9" s="471">
        <v>82</v>
      </c>
      <c r="I9" s="445">
        <v>54</v>
      </c>
      <c r="J9" s="445">
        <v>82.5</v>
      </c>
      <c r="K9" s="445">
        <v>77.5</v>
      </c>
      <c r="L9" s="445">
        <v>64</v>
      </c>
      <c r="M9" s="445">
        <v>95</v>
      </c>
      <c r="N9" s="445">
        <v>64.5</v>
      </c>
      <c r="O9" s="445">
        <v>71</v>
      </c>
      <c r="P9" s="445">
        <v>77.5</v>
      </c>
      <c r="Q9" s="445">
        <v>79</v>
      </c>
      <c r="R9" s="445">
        <v>52.5</v>
      </c>
      <c r="S9" s="445">
        <v>56</v>
      </c>
      <c r="T9" s="445">
        <v>70</v>
      </c>
      <c r="U9" s="445">
        <v>70</v>
      </c>
      <c r="V9" s="445">
        <v>64</v>
      </c>
      <c r="W9" s="445">
        <v>74</v>
      </c>
      <c r="X9" s="445">
        <v>70</v>
      </c>
      <c r="Y9" s="445">
        <v>70</v>
      </c>
      <c r="Z9" s="445">
        <v>65</v>
      </c>
      <c r="AA9" s="445">
        <v>80</v>
      </c>
      <c r="AB9" s="445">
        <v>80</v>
      </c>
      <c r="AC9" s="445"/>
      <c r="AD9" s="445">
        <v>67</v>
      </c>
      <c r="AE9" s="445">
        <v>82</v>
      </c>
      <c r="AF9" s="445">
        <v>72.5</v>
      </c>
      <c r="AG9" s="445"/>
      <c r="AH9" s="445"/>
      <c r="AI9" s="445">
        <v>71</v>
      </c>
      <c r="AJ9" s="445"/>
      <c r="AK9" s="313">
        <f t="shared" si="0"/>
        <v>71.758620689655174</v>
      </c>
      <c r="AL9" s="313">
        <f t="shared" si="2"/>
        <v>71.758620689655174</v>
      </c>
      <c r="AM9" s="221">
        <f t="shared" si="1"/>
        <v>3</v>
      </c>
    </row>
    <row r="10" spans="1:39" s="64" customFormat="1" ht="18.75" customHeight="1">
      <c r="A10" s="422" t="s">
        <v>192</v>
      </c>
      <c r="B10" s="445">
        <v>65</v>
      </c>
      <c r="C10" s="445">
        <v>35.5</v>
      </c>
      <c r="D10" s="445"/>
      <c r="E10" s="445"/>
      <c r="F10" s="445">
        <v>68</v>
      </c>
      <c r="G10" s="501">
        <v>63</v>
      </c>
      <c r="H10" s="445">
        <v>53</v>
      </c>
      <c r="I10" s="445">
        <v>67</v>
      </c>
      <c r="J10" s="445">
        <v>77.5</v>
      </c>
      <c r="K10" s="445">
        <v>75</v>
      </c>
      <c r="L10" s="445">
        <v>56</v>
      </c>
      <c r="M10" s="445">
        <v>62.5</v>
      </c>
      <c r="N10" s="445">
        <v>45</v>
      </c>
      <c r="O10" s="445">
        <v>57</v>
      </c>
      <c r="P10" s="445">
        <v>60</v>
      </c>
      <c r="Q10" s="471">
        <v>59</v>
      </c>
      <c r="R10" s="445">
        <v>52.5</v>
      </c>
      <c r="S10" s="445">
        <v>31.5</v>
      </c>
      <c r="T10" s="445"/>
      <c r="U10" s="445">
        <v>69</v>
      </c>
      <c r="V10" s="445">
        <v>75</v>
      </c>
      <c r="W10" s="445">
        <v>66</v>
      </c>
      <c r="X10" s="445">
        <v>62.5</v>
      </c>
      <c r="Y10" s="445"/>
      <c r="Z10" s="445">
        <v>60</v>
      </c>
      <c r="AA10" s="445">
        <v>70</v>
      </c>
      <c r="AB10" s="445">
        <v>62.5</v>
      </c>
      <c r="AC10" s="445">
        <v>41.5</v>
      </c>
      <c r="AD10" s="445"/>
      <c r="AE10" s="445"/>
      <c r="AF10" s="445"/>
      <c r="AG10" s="445"/>
      <c r="AH10" s="445"/>
      <c r="AI10" s="445">
        <v>55</v>
      </c>
      <c r="AJ10" s="445"/>
      <c r="AK10" s="313">
        <f t="shared" si="0"/>
        <v>59.56</v>
      </c>
      <c r="AL10" s="313">
        <f t="shared" si="2"/>
        <v>59.56</v>
      </c>
      <c r="AM10" s="221">
        <f t="shared" si="1"/>
        <v>10</v>
      </c>
    </row>
    <row r="11" spans="1:39" s="64" customFormat="1" ht="14.4">
      <c r="A11" s="422" t="s">
        <v>193</v>
      </c>
      <c r="B11" s="445">
        <v>68.5</v>
      </c>
      <c r="C11" s="445">
        <v>49.5</v>
      </c>
      <c r="D11" s="445"/>
      <c r="E11" s="445">
        <v>63.5</v>
      </c>
      <c r="F11" s="445">
        <v>70</v>
      </c>
      <c r="G11" s="501">
        <v>77</v>
      </c>
      <c r="H11" s="445">
        <v>67</v>
      </c>
      <c r="I11" s="445">
        <v>66</v>
      </c>
      <c r="J11" s="445">
        <v>65</v>
      </c>
      <c r="K11" s="445">
        <v>75</v>
      </c>
      <c r="L11" s="445">
        <v>71</v>
      </c>
      <c r="M11" s="445">
        <v>77.5</v>
      </c>
      <c r="N11" s="445">
        <v>57.5</v>
      </c>
      <c r="O11" s="445">
        <v>58</v>
      </c>
      <c r="P11" s="445">
        <v>90</v>
      </c>
      <c r="Q11" s="471">
        <v>74</v>
      </c>
      <c r="R11" s="445">
        <v>47.5</v>
      </c>
      <c r="S11" s="445">
        <v>66</v>
      </c>
      <c r="T11" s="445">
        <v>68</v>
      </c>
      <c r="U11" s="445">
        <v>72</v>
      </c>
      <c r="V11" s="445">
        <v>71</v>
      </c>
      <c r="W11" s="445">
        <v>77</v>
      </c>
      <c r="X11" s="445">
        <v>80</v>
      </c>
      <c r="Y11" s="445"/>
      <c r="Z11" s="445">
        <v>57.5</v>
      </c>
      <c r="AA11" s="445">
        <v>80</v>
      </c>
      <c r="AB11" s="445">
        <v>77.5</v>
      </c>
      <c r="AC11" s="445">
        <v>41.5</v>
      </c>
      <c r="AD11" s="445"/>
      <c r="AE11" s="445"/>
      <c r="AF11" s="445"/>
      <c r="AG11" s="445"/>
      <c r="AH11" s="445"/>
      <c r="AI11" s="445">
        <v>86.5</v>
      </c>
      <c r="AJ11" s="445"/>
      <c r="AK11" s="313">
        <f t="shared" si="0"/>
        <v>68.666666666666671</v>
      </c>
      <c r="AL11" s="313">
        <f t="shared" si="2"/>
        <v>68.666666666666671</v>
      </c>
      <c r="AM11" s="221">
        <f t="shared" si="1"/>
        <v>6</v>
      </c>
    </row>
    <row r="12" spans="1:39" s="264" customFormat="1" ht="14.4">
      <c r="A12" s="422" t="s">
        <v>194</v>
      </c>
      <c r="B12" s="445">
        <v>74</v>
      </c>
      <c r="C12" s="445">
        <v>47.5</v>
      </c>
      <c r="D12" s="445"/>
      <c r="E12" s="445">
        <v>54</v>
      </c>
      <c r="F12" s="445">
        <v>66</v>
      </c>
      <c r="G12" s="502">
        <v>72</v>
      </c>
      <c r="H12" s="445">
        <v>71</v>
      </c>
      <c r="I12" s="445">
        <v>71</v>
      </c>
      <c r="J12" s="445">
        <v>52.5</v>
      </c>
      <c r="K12" s="445"/>
      <c r="L12" s="445">
        <v>47</v>
      </c>
      <c r="M12" s="445">
        <v>60</v>
      </c>
      <c r="N12" s="445">
        <v>60</v>
      </c>
      <c r="O12" s="445">
        <v>73</v>
      </c>
      <c r="P12" s="445">
        <v>72.5</v>
      </c>
      <c r="Q12" s="471">
        <v>65</v>
      </c>
      <c r="R12" s="445">
        <v>45</v>
      </c>
      <c r="S12" s="445">
        <v>60</v>
      </c>
      <c r="T12" s="445">
        <v>65</v>
      </c>
      <c r="U12" s="445">
        <v>72</v>
      </c>
      <c r="V12" s="445">
        <v>66</v>
      </c>
      <c r="W12" s="445">
        <v>65</v>
      </c>
      <c r="X12" s="445">
        <v>65</v>
      </c>
      <c r="Y12" s="445"/>
      <c r="Z12" s="445">
        <v>60</v>
      </c>
      <c r="AA12" s="445">
        <v>72.5</v>
      </c>
      <c r="AB12" s="445">
        <v>77.5</v>
      </c>
      <c r="AC12" s="445">
        <v>61.5</v>
      </c>
      <c r="AD12" s="445"/>
      <c r="AE12" s="445">
        <v>63</v>
      </c>
      <c r="AF12" s="445">
        <v>90</v>
      </c>
      <c r="AG12" s="445"/>
      <c r="AH12" s="445"/>
      <c r="AI12" s="445">
        <v>76</v>
      </c>
      <c r="AJ12" s="445"/>
      <c r="AK12" s="313">
        <f t="shared" si="0"/>
        <v>65.142857142857139</v>
      </c>
      <c r="AL12" s="313">
        <f t="shared" si="2"/>
        <v>65.142857142857139</v>
      </c>
      <c r="AM12" s="221">
        <f t="shared" si="1"/>
        <v>9</v>
      </c>
    </row>
    <row r="13" spans="1:39" s="64" customFormat="1" ht="14.4">
      <c r="A13" s="422" t="s">
        <v>195</v>
      </c>
      <c r="B13" s="445">
        <v>43</v>
      </c>
      <c r="C13" s="445">
        <v>27.5</v>
      </c>
      <c r="D13" s="445"/>
      <c r="E13" s="445">
        <v>17</v>
      </c>
      <c r="F13" s="445">
        <v>53</v>
      </c>
      <c r="G13" s="501">
        <v>47</v>
      </c>
      <c r="H13" s="445">
        <v>39</v>
      </c>
      <c r="I13" s="445">
        <v>41</v>
      </c>
      <c r="J13" s="445">
        <v>45</v>
      </c>
      <c r="K13" s="445">
        <v>40</v>
      </c>
      <c r="L13" s="445">
        <v>25</v>
      </c>
      <c r="M13" s="445">
        <v>42.5</v>
      </c>
      <c r="N13" s="445">
        <v>30</v>
      </c>
      <c r="O13" s="445">
        <v>27</v>
      </c>
      <c r="P13" s="445">
        <v>37.5</v>
      </c>
      <c r="Q13" s="471">
        <v>38.5</v>
      </c>
      <c r="R13" s="445">
        <v>32.5</v>
      </c>
      <c r="S13" s="445">
        <v>32</v>
      </c>
      <c r="T13" s="445">
        <v>20</v>
      </c>
      <c r="U13" s="445">
        <v>42</v>
      </c>
      <c r="V13" s="445">
        <v>36</v>
      </c>
      <c r="W13" s="445">
        <v>24</v>
      </c>
      <c r="X13" s="445">
        <v>30</v>
      </c>
      <c r="Y13" s="445"/>
      <c r="Z13" s="445">
        <v>25</v>
      </c>
      <c r="AA13" s="445">
        <v>40</v>
      </c>
      <c r="AB13" s="445">
        <v>45</v>
      </c>
      <c r="AC13" s="445">
        <v>27.5</v>
      </c>
      <c r="AD13" s="445"/>
      <c r="AE13" s="445">
        <v>38.5</v>
      </c>
      <c r="AF13" s="445">
        <v>20</v>
      </c>
      <c r="AG13" s="445"/>
      <c r="AH13" s="445"/>
      <c r="AI13" s="445"/>
      <c r="AJ13" s="445"/>
      <c r="AK13" s="313">
        <f t="shared" si="0"/>
        <v>34.482142857142854</v>
      </c>
      <c r="AL13" s="313">
        <f t="shared" si="2"/>
        <v>34.482142857142854</v>
      </c>
      <c r="AM13" s="221">
        <f t="shared" si="1"/>
        <v>13</v>
      </c>
    </row>
    <row r="14" spans="1:39" s="64" customFormat="1" ht="14.4">
      <c r="A14" s="422" t="s">
        <v>196</v>
      </c>
      <c r="B14" s="445">
        <v>56</v>
      </c>
      <c r="C14" s="445">
        <v>27</v>
      </c>
      <c r="D14" s="445"/>
      <c r="E14" s="445">
        <v>33.5</v>
      </c>
      <c r="F14" s="445">
        <v>57</v>
      </c>
      <c r="G14" s="501">
        <v>59</v>
      </c>
      <c r="H14" s="445">
        <v>51</v>
      </c>
      <c r="I14" s="445">
        <v>50</v>
      </c>
      <c r="J14" s="445">
        <v>47.5</v>
      </c>
      <c r="K14" s="445">
        <v>52.5</v>
      </c>
      <c r="L14" s="445">
        <v>46</v>
      </c>
      <c r="M14" s="445">
        <v>30</v>
      </c>
      <c r="N14" s="445">
        <v>22.5</v>
      </c>
      <c r="O14" s="445">
        <v>55</v>
      </c>
      <c r="P14" s="445">
        <v>70</v>
      </c>
      <c r="Q14" s="471">
        <v>59</v>
      </c>
      <c r="R14" s="445">
        <v>32.5</v>
      </c>
      <c r="S14" s="445">
        <v>42</v>
      </c>
      <c r="T14" s="445">
        <v>41</v>
      </c>
      <c r="U14" s="445">
        <v>56</v>
      </c>
      <c r="V14" s="445">
        <v>51</v>
      </c>
      <c r="W14" s="445">
        <v>47</v>
      </c>
      <c r="X14" s="445">
        <v>42.5</v>
      </c>
      <c r="Y14" s="445"/>
      <c r="Z14" s="445"/>
      <c r="AA14" s="445">
        <v>70</v>
      </c>
      <c r="AB14" s="445">
        <v>47.5</v>
      </c>
      <c r="AC14" s="445">
        <v>31.5</v>
      </c>
      <c r="AD14" s="445"/>
      <c r="AE14" s="445"/>
      <c r="AF14" s="445"/>
      <c r="AG14" s="445"/>
      <c r="AH14" s="445"/>
      <c r="AI14" s="445"/>
      <c r="AJ14" s="445"/>
      <c r="AK14" s="313">
        <f t="shared" si="0"/>
        <v>47.08</v>
      </c>
      <c r="AL14" s="313">
        <f t="shared" si="2"/>
        <v>47.08</v>
      </c>
      <c r="AM14" s="221">
        <f t="shared" si="1"/>
        <v>12</v>
      </c>
    </row>
    <row r="15" spans="1:39" s="64" customFormat="1" ht="14.4">
      <c r="A15" s="422" t="s">
        <v>197</v>
      </c>
      <c r="B15" s="445">
        <v>70</v>
      </c>
      <c r="C15" s="445">
        <v>53.5</v>
      </c>
      <c r="D15" s="445"/>
      <c r="E15" s="445"/>
      <c r="F15" s="445">
        <v>69</v>
      </c>
      <c r="G15" s="501"/>
      <c r="H15" s="445">
        <v>74</v>
      </c>
      <c r="I15" s="445">
        <v>58</v>
      </c>
      <c r="J15" s="445">
        <v>52.5</v>
      </c>
      <c r="K15" s="445">
        <v>52.5</v>
      </c>
      <c r="L15" s="445">
        <v>49</v>
      </c>
      <c r="M15" s="445">
        <v>42.5</v>
      </c>
      <c r="N15" s="445">
        <v>55</v>
      </c>
      <c r="O15" s="445">
        <v>59</v>
      </c>
      <c r="P15" s="445">
        <v>70</v>
      </c>
      <c r="Q15" s="471"/>
      <c r="R15" s="445">
        <v>47.5</v>
      </c>
      <c r="S15" s="445"/>
      <c r="T15" s="445">
        <v>61</v>
      </c>
      <c r="U15" s="445">
        <v>55</v>
      </c>
      <c r="V15" s="445">
        <v>70</v>
      </c>
      <c r="W15" s="445"/>
      <c r="X15" s="445">
        <v>50</v>
      </c>
      <c r="Y15" s="445"/>
      <c r="Z15" s="445"/>
      <c r="AA15" s="445"/>
      <c r="AB15" s="445"/>
      <c r="AC15" s="445">
        <v>50</v>
      </c>
      <c r="AD15" s="445"/>
      <c r="AE15" s="445"/>
      <c r="AF15" s="445"/>
      <c r="AG15" s="445"/>
      <c r="AH15" s="445"/>
      <c r="AI15" s="445"/>
      <c r="AJ15" s="445"/>
      <c r="AK15" s="313">
        <f t="shared" si="0"/>
        <v>57.694444444444443</v>
      </c>
      <c r="AL15" s="313">
        <f t="shared" si="2"/>
        <v>57.694444444444443</v>
      </c>
      <c r="AM15" s="221">
        <f t="shared" si="1"/>
        <v>11</v>
      </c>
    </row>
    <row r="16" spans="1:39" s="162" customFormat="1" ht="14.4">
      <c r="A16" s="422" t="s">
        <v>198</v>
      </c>
      <c r="B16" s="447">
        <v>72</v>
      </c>
      <c r="C16" s="447"/>
      <c r="D16" s="447"/>
      <c r="E16" s="447"/>
      <c r="F16" s="447">
        <v>70</v>
      </c>
      <c r="G16" s="501"/>
      <c r="H16" s="447">
        <v>82.5</v>
      </c>
      <c r="I16" s="447">
        <v>48</v>
      </c>
      <c r="J16" s="447">
        <v>50</v>
      </c>
      <c r="K16" s="447">
        <v>80</v>
      </c>
      <c r="L16" s="447">
        <v>52</v>
      </c>
      <c r="M16" s="447">
        <v>65</v>
      </c>
      <c r="N16" s="447">
        <v>95</v>
      </c>
      <c r="O16" s="447">
        <v>65</v>
      </c>
      <c r="P16" s="447">
        <v>67.5</v>
      </c>
      <c r="Q16" s="326"/>
      <c r="R16" s="447">
        <v>50</v>
      </c>
      <c r="S16" s="447"/>
      <c r="T16" s="447"/>
      <c r="U16" s="447">
        <v>71</v>
      </c>
      <c r="V16" s="447">
        <v>72</v>
      </c>
      <c r="W16" s="447"/>
      <c r="X16" s="447"/>
      <c r="Y16" s="447"/>
      <c r="Z16" s="447"/>
      <c r="AA16" s="447"/>
      <c r="AB16" s="447"/>
      <c r="AC16" s="447"/>
      <c r="AD16" s="447"/>
      <c r="AE16" s="447"/>
      <c r="AF16" s="447"/>
      <c r="AG16" s="447"/>
      <c r="AH16" s="447"/>
      <c r="AI16" s="447"/>
      <c r="AJ16" s="447"/>
      <c r="AK16" s="313">
        <f t="shared" si="0"/>
        <v>67.142857142857139</v>
      </c>
      <c r="AL16" s="313">
        <f t="shared" si="2"/>
        <v>67.142857142857139</v>
      </c>
      <c r="AM16" s="221">
        <f>RANK(AL16,$AL$4:$AL$16)</f>
        <v>8</v>
      </c>
    </row>
    <row r="17" spans="2:38">
      <c r="B17"/>
      <c r="AK17" s="294"/>
      <c r="AL17" s="199"/>
    </row>
    <row r="18" spans="2:38">
      <c r="B18" t="s">
        <v>205</v>
      </c>
      <c r="C18" t="s">
        <v>206</v>
      </c>
      <c r="D18" t="s">
        <v>207</v>
      </c>
      <c r="E18" t="s">
        <v>208</v>
      </c>
      <c r="F18" t="s">
        <v>209</v>
      </c>
      <c r="G18" t="s">
        <v>210</v>
      </c>
      <c r="H18" t="s">
        <v>211</v>
      </c>
      <c r="I18" t="s">
        <v>212</v>
      </c>
      <c r="J18" t="s">
        <v>213</v>
      </c>
      <c r="K18" t="s">
        <v>214</v>
      </c>
      <c r="L18" t="s">
        <v>215</v>
      </c>
      <c r="M18" t="s">
        <v>216</v>
      </c>
      <c r="N18" t="s">
        <v>217</v>
      </c>
      <c r="O18" t="s">
        <v>218</v>
      </c>
      <c r="P18" t="s">
        <v>219</v>
      </c>
      <c r="Q18" t="s">
        <v>220</v>
      </c>
      <c r="R18" t="s">
        <v>221</v>
      </c>
      <c r="S18" t="s">
        <v>222</v>
      </c>
      <c r="T18" t="s">
        <v>223</v>
      </c>
      <c r="U18" t="s">
        <v>224</v>
      </c>
      <c r="V18" t="s">
        <v>225</v>
      </c>
      <c r="W18" t="s">
        <v>226</v>
      </c>
      <c r="X18" t="s">
        <v>227</v>
      </c>
      <c r="Y18" t="s">
        <v>228</v>
      </c>
      <c r="Z18" t="s">
        <v>229</v>
      </c>
      <c r="AA18" t="s">
        <v>230</v>
      </c>
      <c r="AB18" t="s">
        <v>231</v>
      </c>
      <c r="AC18" t="s">
        <v>232</v>
      </c>
      <c r="AD18" t="s">
        <v>233</v>
      </c>
      <c r="AE18" t="s">
        <v>234</v>
      </c>
      <c r="AF18" t="s">
        <v>235</v>
      </c>
      <c r="AG18" t="s">
        <v>236</v>
      </c>
      <c r="AH18" t="s">
        <v>237</v>
      </c>
      <c r="AK18" s="295"/>
      <c r="AL18" s="301" t="s">
        <v>154</v>
      </c>
    </row>
    <row r="19" spans="2:38">
      <c r="AE19" t="s">
        <v>238</v>
      </c>
      <c r="AF19" t="s">
        <v>239</v>
      </c>
    </row>
  </sheetData>
  <phoneticPr fontId="24" type="noConversion"/>
  <printOptions gridLines="1"/>
  <pageMargins left="0.21" right="0.2" top="1" bottom="1" header="0.5" footer="0.5"/>
  <pageSetup scale="49" orientation="landscape" horizontalDpi="4294967294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H69"/>
  <sheetViews>
    <sheetView workbookViewId="0">
      <selection activeCell="G21" sqref="G21"/>
    </sheetView>
  </sheetViews>
  <sheetFormatPr defaultColWidth="8.88671875" defaultRowHeight="13.2"/>
  <cols>
    <col min="1" max="1" width="42.5546875" customWidth="1"/>
    <col min="2" max="2" width="9.6640625" customWidth="1"/>
    <col min="3" max="3" width="10" customWidth="1"/>
    <col min="4" max="4" width="11.44140625" customWidth="1"/>
    <col min="5" max="5" width="11.33203125" customWidth="1"/>
    <col min="6" max="6" width="14.33203125" customWidth="1"/>
    <col min="7" max="7" width="12.6640625" customWidth="1"/>
    <col min="8" max="8" width="12.44140625" customWidth="1"/>
    <col min="9" max="9" width="11" customWidth="1"/>
  </cols>
  <sheetData>
    <row r="1" spans="1:8" ht="17.399999999999999">
      <c r="A1" s="401" t="s">
        <v>180</v>
      </c>
      <c r="B1" s="8"/>
      <c r="C1" s="6"/>
      <c r="D1" s="9"/>
      <c r="E1" s="504" t="s">
        <v>272</v>
      </c>
      <c r="F1" s="37"/>
      <c r="G1" s="6"/>
      <c r="H1" s="6"/>
    </row>
    <row r="2" spans="1:8" s="64" customFormat="1" ht="12.75" customHeight="1">
      <c r="A2" s="37"/>
      <c r="B2" s="37"/>
      <c r="C2" s="37"/>
      <c r="D2" s="186" t="s">
        <v>15</v>
      </c>
      <c r="E2" s="187">
        <f>MIN(D5:D17)</f>
        <v>3.915</v>
      </c>
      <c r="F2" s="37" t="s">
        <v>16</v>
      </c>
      <c r="G2" s="37"/>
      <c r="H2" s="37"/>
    </row>
    <row r="3" spans="1:8">
      <c r="A3" s="202"/>
      <c r="B3" s="11"/>
      <c r="C3" s="12"/>
      <c r="D3" s="188" t="s">
        <v>76</v>
      </c>
      <c r="E3" s="187">
        <v>11.72</v>
      </c>
      <c r="F3" s="239" t="s">
        <v>16</v>
      </c>
      <c r="G3" s="6"/>
    </row>
    <row r="4" spans="1:8" ht="27" customHeight="1">
      <c r="A4" s="10"/>
      <c r="B4" s="38" t="s">
        <v>31</v>
      </c>
      <c r="C4" s="38" t="s">
        <v>32</v>
      </c>
      <c r="D4" s="38" t="s">
        <v>38</v>
      </c>
      <c r="E4" s="35" t="s">
        <v>9</v>
      </c>
      <c r="F4" s="5" t="s">
        <v>27</v>
      </c>
      <c r="G4" s="254"/>
      <c r="H4" s="35"/>
    </row>
    <row r="5" spans="1:8" ht="14.4">
      <c r="A5" s="422" t="s">
        <v>186</v>
      </c>
      <c r="B5" s="503">
        <v>5.165</v>
      </c>
      <c r="C5" s="503">
        <v>5.2449999999999992</v>
      </c>
      <c r="D5" s="486">
        <v>5.165</v>
      </c>
      <c r="E5" s="242">
        <f>IF(D5&gt;=12,2.5,(-$D$21*D5+$D$22))</f>
        <v>41.992312620115314</v>
      </c>
      <c r="F5" s="5">
        <f>RANK(E5,$E$5:$E$17)</f>
        <v>5</v>
      </c>
      <c r="G5" s="301"/>
      <c r="H5" s="63"/>
    </row>
    <row r="6" spans="1:8" ht="14.4">
      <c r="A6" s="422" t="s">
        <v>187</v>
      </c>
      <c r="B6" s="503"/>
      <c r="C6" s="503"/>
      <c r="D6" s="486" t="s">
        <v>240</v>
      </c>
      <c r="E6" s="242">
        <v>0</v>
      </c>
      <c r="F6" s="5">
        <f>RANK(E6,$E$5:$E$17)</f>
        <v>11</v>
      </c>
      <c r="G6" s="301"/>
      <c r="H6" s="63"/>
    </row>
    <row r="7" spans="1:8" ht="14.4">
      <c r="A7" s="423" t="s">
        <v>188</v>
      </c>
      <c r="B7" s="503">
        <v>5.41</v>
      </c>
      <c r="C7" s="503">
        <v>5.3949999999999996</v>
      </c>
      <c r="D7" s="486">
        <v>5.3949999999999996</v>
      </c>
      <c r="E7" s="242">
        <f t="shared" ref="E7:E16" si="0">IF(D7&gt;=12,2.5,(-$D$21*D7+$D$22))</f>
        <v>40.518898142216536</v>
      </c>
      <c r="F7" s="5">
        <f>RANK(E7,$E$5:$E$17)</f>
        <v>7</v>
      </c>
      <c r="G7" s="301"/>
      <c r="H7" s="63"/>
    </row>
    <row r="8" spans="1:8" s="199" customFormat="1" ht="14.4">
      <c r="A8" s="422" t="s">
        <v>189</v>
      </c>
      <c r="B8" s="503">
        <v>5.09</v>
      </c>
      <c r="C8" s="503">
        <v>5.28</v>
      </c>
      <c r="D8" s="486">
        <v>5.09</v>
      </c>
      <c r="E8" s="242">
        <f t="shared" si="0"/>
        <v>42.472773862908397</v>
      </c>
      <c r="F8" s="5">
        <f>RANK(E8,$E$5:$E$17)</f>
        <v>4</v>
      </c>
      <c r="G8" s="301"/>
      <c r="H8" s="227"/>
    </row>
    <row r="9" spans="1:8" ht="14.4">
      <c r="A9" s="424" t="s">
        <v>190</v>
      </c>
      <c r="B9" s="503">
        <v>4.66</v>
      </c>
      <c r="C9" s="503">
        <v>4.7149999999999999</v>
      </c>
      <c r="D9" s="486">
        <v>4.66</v>
      </c>
      <c r="E9" s="242">
        <f t="shared" si="0"/>
        <v>45.227418321588729</v>
      </c>
      <c r="F9" s="5">
        <f t="shared" ref="F9:F17" si="1">RANK(E9,$E$5:$E$17)</f>
        <v>2</v>
      </c>
      <c r="G9" s="301"/>
      <c r="H9" s="63"/>
    </row>
    <row r="10" spans="1:8" ht="14.4">
      <c r="A10" s="422" t="s">
        <v>191</v>
      </c>
      <c r="B10" s="503">
        <v>5.38</v>
      </c>
      <c r="C10" s="503">
        <v>5.69</v>
      </c>
      <c r="D10" s="486">
        <v>5.38</v>
      </c>
      <c r="E10" s="242">
        <f t="shared" si="0"/>
        <v>40.614990390775148</v>
      </c>
      <c r="F10" s="5">
        <f t="shared" si="1"/>
        <v>6</v>
      </c>
      <c r="G10" s="301"/>
      <c r="H10" s="63"/>
    </row>
    <row r="11" spans="1:8" ht="14.4">
      <c r="A11" s="422" t="s">
        <v>192</v>
      </c>
      <c r="B11" s="503">
        <v>3.915</v>
      </c>
      <c r="C11" s="503">
        <v>4.37</v>
      </c>
      <c r="D11" s="486">
        <v>3.915</v>
      </c>
      <c r="E11" s="242">
        <f t="shared" si="0"/>
        <v>50</v>
      </c>
      <c r="F11" s="5">
        <f t="shared" si="1"/>
        <v>1</v>
      </c>
      <c r="G11" s="301"/>
      <c r="H11" s="63"/>
    </row>
    <row r="12" spans="1:8" ht="14.4">
      <c r="A12" s="422" t="s">
        <v>193</v>
      </c>
      <c r="B12" s="503">
        <v>5.13</v>
      </c>
      <c r="C12" s="503">
        <v>4.97</v>
      </c>
      <c r="D12" s="486">
        <v>4.97</v>
      </c>
      <c r="E12" s="242">
        <f t="shared" si="0"/>
        <v>43.241511851377325</v>
      </c>
      <c r="F12" s="5">
        <f t="shared" si="1"/>
        <v>3</v>
      </c>
      <c r="G12" s="301"/>
      <c r="H12" s="63"/>
    </row>
    <row r="13" spans="1:8" ht="14.4">
      <c r="A13" s="422" t="s">
        <v>194</v>
      </c>
      <c r="B13" s="503">
        <v>5.92</v>
      </c>
      <c r="C13" s="503">
        <v>5.75</v>
      </c>
      <c r="D13" s="486">
        <v>5.75</v>
      </c>
      <c r="E13" s="242">
        <f t="shared" si="0"/>
        <v>38.24471492632928</v>
      </c>
      <c r="F13" s="5">
        <f t="shared" si="1"/>
        <v>9</v>
      </c>
      <c r="G13" s="301"/>
      <c r="H13" s="63"/>
    </row>
    <row r="14" spans="1:8" s="137" customFormat="1" ht="14.4">
      <c r="A14" s="422" t="s">
        <v>195</v>
      </c>
      <c r="B14" s="503"/>
      <c r="C14" s="503"/>
      <c r="D14" s="486" t="s">
        <v>240</v>
      </c>
      <c r="E14" s="242">
        <v>0</v>
      </c>
      <c r="F14" s="5">
        <f t="shared" si="1"/>
        <v>11</v>
      </c>
      <c r="G14" s="301"/>
      <c r="H14" s="141"/>
    </row>
    <row r="15" spans="1:8" s="137" customFormat="1" ht="14.4">
      <c r="A15" s="422" t="s">
        <v>196</v>
      </c>
      <c r="B15" s="503">
        <v>5.66</v>
      </c>
      <c r="C15" s="503">
        <v>5.47</v>
      </c>
      <c r="D15" s="486">
        <v>5.47</v>
      </c>
      <c r="E15" s="242">
        <f t="shared" si="0"/>
        <v>40.038436899423452</v>
      </c>
      <c r="F15" s="5">
        <f t="shared" si="1"/>
        <v>8</v>
      </c>
      <c r="G15" s="301"/>
      <c r="H15" s="141"/>
    </row>
    <row r="16" spans="1:8" s="137" customFormat="1" ht="14.4">
      <c r="A16" s="422" t="s">
        <v>197</v>
      </c>
      <c r="B16" s="503">
        <v>6.85</v>
      </c>
      <c r="C16" s="503">
        <v>6.81</v>
      </c>
      <c r="D16" s="486">
        <v>6.81</v>
      </c>
      <c r="E16" s="242">
        <f t="shared" si="0"/>
        <v>31.454196028187063</v>
      </c>
      <c r="F16" s="5">
        <f t="shared" si="1"/>
        <v>10</v>
      </c>
      <c r="G16" s="301"/>
      <c r="H16" s="141"/>
    </row>
    <row r="17" spans="1:8" ht="14.4">
      <c r="A17" s="422" t="s">
        <v>198</v>
      </c>
      <c r="B17" s="503"/>
      <c r="C17" s="503"/>
      <c r="D17" s="486" t="s">
        <v>240</v>
      </c>
      <c r="E17" s="242">
        <v>0</v>
      </c>
      <c r="F17" s="5">
        <f t="shared" si="1"/>
        <v>11</v>
      </c>
      <c r="G17" s="301"/>
      <c r="H17" s="2"/>
    </row>
    <row r="18" spans="1:8">
      <c r="A18" s="24"/>
      <c r="B18" s="55"/>
      <c r="C18" s="55"/>
      <c r="D18" s="55"/>
      <c r="E18" s="18"/>
      <c r="F18" s="18"/>
      <c r="G18" s="18"/>
      <c r="H18" s="3"/>
    </row>
    <row r="19" spans="1:8">
      <c r="A19" s="24"/>
      <c r="B19" s="55"/>
      <c r="C19" s="132"/>
      <c r="D19" s="55"/>
      <c r="E19" s="18"/>
      <c r="F19" s="18"/>
      <c r="G19" s="18"/>
      <c r="H19" s="3"/>
    </row>
    <row r="20" spans="1:8">
      <c r="A20" s="24"/>
      <c r="B20" s="55"/>
      <c r="C20" s="253" t="s">
        <v>136</v>
      </c>
      <c r="D20" s="55"/>
      <c r="E20" s="18"/>
      <c r="F20" s="18"/>
      <c r="G20" s="18"/>
      <c r="H20" s="3"/>
    </row>
    <row r="21" spans="1:8">
      <c r="A21" s="24"/>
      <c r="B21" s="55"/>
      <c r="C21" s="298" t="s">
        <v>133</v>
      </c>
      <c r="D21" s="296">
        <f>50/(E3-E2)</f>
        <v>6.4061499039077505</v>
      </c>
      <c r="E21" s="18"/>
      <c r="F21" s="18"/>
      <c r="G21" s="18"/>
      <c r="H21" s="3"/>
    </row>
    <row r="22" spans="1:8">
      <c r="A22" s="24"/>
      <c r="B22" s="55"/>
      <c r="C22" s="298" t="s">
        <v>134</v>
      </c>
      <c r="D22" s="297">
        <f>D21*E3</f>
        <v>75.080076873798845</v>
      </c>
      <c r="E22" s="18"/>
      <c r="F22" s="18"/>
      <c r="G22" s="18"/>
      <c r="H22" s="3"/>
    </row>
    <row r="23" spans="1:8">
      <c r="A23" s="24"/>
      <c r="C23" s="298" t="s">
        <v>273</v>
      </c>
      <c r="D23" s="55"/>
      <c r="E23" s="18"/>
      <c r="F23" s="18"/>
      <c r="G23" s="18"/>
      <c r="H23" s="3"/>
    </row>
    <row r="24" spans="1:8">
      <c r="A24" s="24"/>
      <c r="B24" s="55"/>
      <c r="C24" s="55"/>
      <c r="D24" s="55"/>
      <c r="E24" s="18"/>
      <c r="F24" s="18"/>
      <c r="G24" s="18"/>
      <c r="H24" s="3"/>
    </row>
    <row r="25" spans="1:8">
      <c r="A25" s="24"/>
      <c r="B25" s="55"/>
      <c r="C25" s="55"/>
      <c r="D25" s="55"/>
      <c r="E25" s="18"/>
      <c r="F25" s="18"/>
      <c r="G25" s="18"/>
      <c r="H25" s="3"/>
    </row>
    <row r="26" spans="1:8">
      <c r="A26" s="24"/>
      <c r="B26" s="55"/>
      <c r="C26" s="55"/>
      <c r="D26" s="55"/>
      <c r="E26" s="18"/>
      <c r="F26" s="18"/>
      <c r="G26" s="18"/>
      <c r="H26" s="3"/>
    </row>
    <row r="27" spans="1:8">
      <c r="A27" s="24"/>
      <c r="B27" s="55"/>
      <c r="C27" s="55"/>
      <c r="D27" s="55"/>
      <c r="E27" s="18"/>
      <c r="F27" s="18"/>
      <c r="G27" s="18"/>
      <c r="H27" s="3"/>
    </row>
    <row r="28" spans="1:8">
      <c r="A28" s="24"/>
      <c r="B28" s="55"/>
      <c r="C28" s="55"/>
      <c r="D28" s="55"/>
      <c r="E28" s="18"/>
      <c r="F28" s="18"/>
      <c r="G28" s="18"/>
      <c r="H28" s="6"/>
    </row>
    <row r="29" spans="1:8">
      <c r="A29" s="24"/>
      <c r="B29" s="55"/>
      <c r="C29" s="55"/>
      <c r="D29" s="55"/>
      <c r="E29" s="18"/>
      <c r="F29" s="18"/>
      <c r="G29" s="18"/>
      <c r="H29" s="6"/>
    </row>
    <row r="30" spans="1:8">
      <c r="A30" s="12"/>
      <c r="B30" s="55"/>
      <c r="C30" s="55"/>
      <c r="D30" s="55"/>
      <c r="E30" s="18"/>
      <c r="F30" s="18"/>
      <c r="G30" s="18"/>
      <c r="H30" s="6"/>
    </row>
    <row r="31" spans="1:8">
      <c r="A31" s="12"/>
      <c r="B31" s="55"/>
      <c r="C31" s="55"/>
      <c r="D31" s="55"/>
      <c r="E31" s="18"/>
      <c r="F31" s="18"/>
      <c r="G31" s="18"/>
      <c r="H31" s="6"/>
    </row>
    <row r="32" spans="1:8">
      <c r="A32" s="12"/>
      <c r="B32" s="55"/>
      <c r="C32" s="55"/>
      <c r="D32" s="55"/>
      <c r="E32" s="18"/>
      <c r="F32" s="18"/>
      <c r="G32" s="18"/>
      <c r="H32" s="6"/>
    </row>
    <row r="33" spans="1:8">
      <c r="A33" s="50"/>
      <c r="B33" s="12"/>
      <c r="C33" s="12"/>
      <c r="D33" s="12"/>
      <c r="E33" s="6"/>
      <c r="F33" s="6"/>
      <c r="G33" s="6"/>
      <c r="H33" s="6"/>
    </row>
    <row r="34" spans="1:8">
      <c r="B34" s="4"/>
      <c r="C34" s="4"/>
      <c r="D34" s="4"/>
    </row>
    <row r="35" spans="1:8">
      <c r="B35" s="4"/>
      <c r="C35" s="4"/>
      <c r="D35" s="4"/>
    </row>
    <row r="36" spans="1:8">
      <c r="B36" s="4"/>
      <c r="C36" s="4"/>
      <c r="D36" s="4"/>
    </row>
    <row r="37" spans="1:8">
      <c r="B37" s="4"/>
      <c r="C37" s="4"/>
      <c r="D37" s="4"/>
    </row>
    <row r="38" spans="1:8">
      <c r="B38" s="4"/>
      <c r="C38" s="4"/>
      <c r="D38" s="4"/>
    </row>
    <row r="39" spans="1:8">
      <c r="B39" s="4"/>
      <c r="C39" s="4"/>
      <c r="D39" s="4"/>
    </row>
    <row r="40" spans="1:8">
      <c r="B40" s="4"/>
      <c r="C40" s="4"/>
      <c r="D40" s="4"/>
    </row>
    <row r="41" spans="1:8">
      <c r="B41" s="4"/>
      <c r="C41" s="4"/>
      <c r="D41" s="4"/>
    </row>
    <row r="42" spans="1:8">
      <c r="B42" s="4"/>
      <c r="C42" s="4"/>
      <c r="D42" s="4"/>
    </row>
    <row r="43" spans="1:8">
      <c r="B43" s="4"/>
      <c r="C43" s="4"/>
      <c r="D43" s="4"/>
    </row>
    <row r="44" spans="1:8">
      <c r="B44" s="4"/>
      <c r="C44" s="4"/>
      <c r="D44" s="4"/>
    </row>
    <row r="45" spans="1:8">
      <c r="B45" s="4"/>
      <c r="C45" s="4"/>
      <c r="D45" s="4"/>
    </row>
    <row r="46" spans="1:8">
      <c r="B46" s="4"/>
      <c r="C46" s="4"/>
      <c r="D46" s="4"/>
    </row>
    <row r="47" spans="1:8">
      <c r="B47" s="4"/>
      <c r="C47" s="4"/>
      <c r="D47" s="4"/>
    </row>
    <row r="48" spans="1:8">
      <c r="B48" s="4"/>
      <c r="C48" s="4"/>
      <c r="D48" s="4"/>
    </row>
    <row r="49" spans="2:4">
      <c r="B49" s="4"/>
      <c r="C49" s="4"/>
      <c r="D49" s="4"/>
    </row>
    <row r="50" spans="2:4">
      <c r="B50" s="4"/>
      <c r="C50" s="4"/>
      <c r="D50" s="4"/>
    </row>
    <row r="51" spans="2:4">
      <c r="B51" s="4"/>
      <c r="C51" s="4"/>
      <c r="D51" s="4"/>
    </row>
    <row r="52" spans="2:4">
      <c r="B52" s="4"/>
      <c r="C52" s="4"/>
      <c r="D52" s="4"/>
    </row>
    <row r="53" spans="2:4">
      <c r="B53" s="4"/>
      <c r="C53" s="4"/>
      <c r="D53" s="4"/>
    </row>
    <row r="54" spans="2:4">
      <c r="B54" s="4"/>
      <c r="C54" s="4"/>
      <c r="D54" s="4"/>
    </row>
    <row r="55" spans="2:4">
      <c r="B55" s="4"/>
      <c r="C55" s="4"/>
      <c r="D55" s="4"/>
    </row>
    <row r="56" spans="2:4">
      <c r="B56" s="4"/>
      <c r="C56" s="4"/>
      <c r="D56" s="4"/>
    </row>
    <row r="57" spans="2:4">
      <c r="B57" s="4"/>
      <c r="C57" s="4"/>
      <c r="D57" s="4"/>
    </row>
    <row r="58" spans="2:4">
      <c r="B58" s="4"/>
      <c r="C58" s="4"/>
      <c r="D58" s="4"/>
    </row>
    <row r="59" spans="2:4">
      <c r="B59" s="4"/>
      <c r="C59" s="4"/>
      <c r="D59" s="4"/>
    </row>
    <row r="60" spans="2:4">
      <c r="B60" s="4"/>
      <c r="C60" s="4"/>
      <c r="D60" s="4"/>
    </row>
    <row r="61" spans="2:4">
      <c r="B61" s="4"/>
      <c r="C61" s="4"/>
      <c r="D61" s="4"/>
    </row>
    <row r="62" spans="2:4">
      <c r="B62" s="4"/>
      <c r="C62" s="4"/>
      <c r="D62" s="4"/>
    </row>
    <row r="63" spans="2:4">
      <c r="B63" s="4"/>
      <c r="C63" s="4"/>
      <c r="D63" s="4"/>
    </row>
    <row r="64" spans="2:4">
      <c r="B64" s="4"/>
      <c r="C64" s="4"/>
      <c r="D64" s="4"/>
    </row>
    <row r="65" spans="2:4">
      <c r="B65" s="4"/>
      <c r="C65" s="4"/>
      <c r="D65" s="4"/>
    </row>
    <row r="66" spans="2:4">
      <c r="B66" s="4"/>
      <c r="C66" s="4"/>
      <c r="D66" s="4"/>
    </row>
    <row r="67" spans="2:4">
      <c r="B67" s="4"/>
      <c r="C67" s="4"/>
      <c r="D67" s="4"/>
    </row>
    <row r="68" spans="2:4">
      <c r="B68" s="4"/>
      <c r="C68" s="4"/>
      <c r="D68" s="4"/>
    </row>
    <row r="69" spans="2:4">
      <c r="B69" s="4"/>
      <c r="C69" s="4"/>
      <c r="D69" s="4"/>
    </row>
  </sheetData>
  <phoneticPr fontId="24" type="noConversion"/>
  <printOptions gridLines="1"/>
  <pageMargins left="0.75" right="0.75" top="0.5" bottom="0.5" header="0.5" footer="0.5"/>
  <pageSetup orientation="landscape" horizontalDpi="4294967294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5</vt:i4>
      </vt:variant>
    </vt:vector>
  </HeadingPairs>
  <TitlesOfParts>
    <vt:vector size="20" baseType="lpstr">
      <vt:lpstr>Totals and Awards</vt:lpstr>
      <vt:lpstr>Paper</vt:lpstr>
      <vt:lpstr>Static</vt:lpstr>
      <vt:lpstr>MSRP</vt:lpstr>
      <vt:lpstr>Subjective Handling </vt:lpstr>
      <vt:lpstr>Fuel Economy-Endurance  </vt:lpstr>
      <vt:lpstr>Noise</vt:lpstr>
      <vt:lpstr>Oral</vt:lpstr>
      <vt:lpstr>Acceleration</vt:lpstr>
      <vt:lpstr>Lab Emissions</vt:lpstr>
      <vt:lpstr>In Service Emissions</vt:lpstr>
      <vt:lpstr>Cold Start</vt:lpstr>
      <vt:lpstr>Objective Handling</vt:lpstr>
      <vt:lpstr>Penalties and Bonuses</vt:lpstr>
      <vt:lpstr>Vehicle Weights</vt:lpstr>
      <vt:lpstr>Bmax</vt:lpstr>
      <vt:lpstr>Bmin</vt:lpstr>
      <vt:lpstr>Emax</vt:lpstr>
      <vt:lpstr>Emin</vt:lpstr>
      <vt:lpstr>'Totals and Awards'!Print_Area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Meldrum</dc:creator>
  <cp:lastModifiedBy>jmeldrum</cp:lastModifiedBy>
  <cp:lastPrinted>2012-03-11T15:23:34Z</cp:lastPrinted>
  <dcterms:created xsi:type="dcterms:W3CDTF">2000-03-12T02:15:03Z</dcterms:created>
  <dcterms:modified xsi:type="dcterms:W3CDTF">2016-03-22T16:56:00Z</dcterms:modified>
</cp:coreProperties>
</file>