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4380" windowWidth="16608" windowHeight="420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Draw Bar Pull" sheetId="11" r:id="rId13"/>
    <sheet name="Penalties and Bonuses" sheetId="12" r:id="rId14"/>
    <sheet name="Vehicle Weights" sheetId="15" r:id="rId15"/>
  </sheets>
  <definedNames>
    <definedName name="Bmax">'Lab Emissions'!$N$8</definedName>
    <definedName name="Bmin">'Lab Emissions'!$N$7</definedName>
    <definedName name="Emax">'Lab Emissions'!$J$8</definedName>
    <definedName name="Emin">'Lab Emissions'!$J$7</definedName>
    <definedName name="_xlnm.Print_Area" localSheetId="0">'Totals and Awards'!$A$1:$O$36</definedName>
  </definedNames>
  <calcPr calcId="125725"/>
</workbook>
</file>

<file path=xl/calcChain.xml><?xml version="1.0" encoding="utf-8"?>
<calcChain xmlns="http://schemas.openxmlformats.org/spreadsheetml/2006/main">
  <c r="E6" i="11"/>
  <c r="E7" l="1"/>
  <c r="AK5" i="5" l="1"/>
  <c r="AL5" s="1"/>
  <c r="AK4"/>
  <c r="AL4" s="1"/>
  <c r="AM4" s="1"/>
  <c r="AM5" l="1"/>
  <c r="D6" i="7"/>
  <c r="E59" i="1"/>
  <c r="E60"/>
  <c r="E61"/>
  <c r="E62"/>
  <c r="E63"/>
  <c r="E64"/>
  <c r="E65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4"/>
  <c r="P6" i="18"/>
  <c r="L6"/>
  <c r="J7"/>
  <c r="E8" i="6" l="1"/>
  <c r="D10" i="4" l="1"/>
  <c r="D11"/>
  <c r="C5" i="10" l="1"/>
  <c r="L5" i="13" s="1"/>
  <c r="D5" i="7"/>
  <c r="R5" i="18"/>
  <c r="F3" i="11"/>
  <c r="Q5" i="14"/>
  <c r="R5" s="1"/>
  <c r="Q4"/>
  <c r="R4" s="1"/>
  <c r="O5" i="13"/>
  <c r="J5"/>
  <c r="J5" i="12"/>
  <c r="N5" i="13" s="1"/>
  <c r="B17" i="3"/>
  <c r="B16"/>
  <c r="F2" i="19"/>
  <c r="H6"/>
  <c r="J1" s="1"/>
  <c r="H7"/>
  <c r="E5" i="15"/>
  <c r="H5" s="1"/>
  <c r="E4"/>
  <c r="D70" i="1"/>
  <c r="C70"/>
  <c r="E47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8"/>
  <c r="E49"/>
  <c r="E50"/>
  <c r="E51"/>
  <c r="E52"/>
  <c r="E53"/>
  <c r="E54"/>
  <c r="E55"/>
  <c r="E56"/>
  <c r="E57"/>
  <c r="E58"/>
  <c r="B16" i="6"/>
  <c r="C16" s="1"/>
  <c r="C4" i="13"/>
  <c r="C5"/>
  <c r="E3" i="1"/>
  <c r="E3" i="4"/>
  <c r="E2"/>
  <c r="O4" i="13"/>
  <c r="F1" i="19"/>
  <c r="C4" i="10"/>
  <c r="L4" i="13" s="1"/>
  <c r="J4" i="12"/>
  <c r="N4" i="13" s="1"/>
  <c r="R6" i="18"/>
  <c r="J4" i="13"/>
  <c r="C67" i="1"/>
  <c r="C68" s="1"/>
  <c r="B4" i="13" s="1"/>
  <c r="D67" i="1"/>
  <c r="D68" s="1"/>
  <c r="S5" i="14" l="1"/>
  <c r="B10" i="19"/>
  <c r="B14" i="3"/>
  <c r="B15" s="1"/>
  <c r="F2" i="15"/>
  <c r="J2" i="19"/>
  <c r="E2" i="7"/>
  <c r="D10" s="1"/>
  <c r="B17" i="6"/>
  <c r="E8" i="3"/>
  <c r="L8" s="1"/>
  <c r="D5" i="13" s="1"/>
  <c r="F2" i="11"/>
  <c r="F11" s="1"/>
  <c r="S4" i="14"/>
  <c r="D71" i="1"/>
  <c r="C71"/>
  <c r="B5" i="13"/>
  <c r="G4"/>
  <c r="G5"/>
  <c r="E6" i="4"/>
  <c r="E7" s="1"/>
  <c r="F1" i="15"/>
  <c r="H4"/>
  <c r="F10" i="19"/>
  <c r="B11"/>
  <c r="E7" i="3" l="1"/>
  <c r="L7" s="1"/>
  <c r="D4" i="13" s="1"/>
  <c r="B18" i="6"/>
  <c r="C17"/>
  <c r="D11" i="7"/>
  <c r="E5" s="1"/>
  <c r="M5" i="13"/>
  <c r="M4"/>
  <c r="E11" i="4"/>
  <c r="E10"/>
  <c r="F11" i="19"/>
  <c r="M8" i="3" l="1"/>
  <c r="M7"/>
  <c r="F11" i="4"/>
  <c r="E6" i="7"/>
  <c r="I5" i="13" s="1"/>
  <c r="C18" i="6"/>
  <c r="B19"/>
  <c r="I4" i="13"/>
  <c r="G6" i="11"/>
  <c r="G7"/>
  <c r="F10" i="4"/>
  <c r="I7" i="19"/>
  <c r="I6"/>
  <c r="C19" i="6" l="1"/>
  <c r="B20"/>
  <c r="F5" i="7"/>
  <c r="F6"/>
  <c r="J6" i="19"/>
  <c r="K6"/>
  <c r="J7"/>
  <c r="K7"/>
  <c r="C20" i="6" l="1"/>
  <c r="B21"/>
  <c r="B22" l="1"/>
  <c r="C21"/>
  <c r="C22" l="1"/>
  <c r="B23"/>
  <c r="C23" l="1"/>
  <c r="B24"/>
  <c r="B25" l="1"/>
  <c r="C24"/>
  <c r="C25" l="1"/>
  <c r="B26"/>
  <c r="C26" l="1"/>
  <c r="B27"/>
  <c r="C27" l="1"/>
  <c r="B28"/>
  <c r="C28" l="1"/>
  <c r="B29"/>
  <c r="C29" l="1"/>
  <c r="B30"/>
  <c r="B31" l="1"/>
  <c r="C30"/>
  <c r="E7"/>
  <c r="E9" s="1"/>
  <c r="E10" l="1"/>
  <c r="C31"/>
  <c r="B32"/>
  <c r="C32" s="1"/>
  <c r="F5" l="1"/>
  <c r="G6"/>
  <c r="H5" i="13" s="1"/>
  <c r="G11" s="1"/>
  <c r="H11" l="1"/>
  <c r="H6" i="6"/>
  <c r="H5"/>
  <c r="H4" i="13"/>
  <c r="G10" s="1"/>
  <c r="H10" s="1"/>
</calcChain>
</file>

<file path=xl/sharedStrings.xml><?xml version="1.0" encoding="utf-8"?>
<sst xmlns="http://schemas.openxmlformats.org/spreadsheetml/2006/main" count="351" uniqueCount="245">
  <si>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</si>
  <si>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</si>
  <si>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</si>
  <si>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</si>
  <si>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</si>
  <si>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</si>
  <si>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</si>
  <si>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</si>
  <si>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</si>
  <si>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</si>
  <si>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</si>
  <si>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</si>
  <si>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</si>
  <si>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</si>
  <si>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</si>
  <si>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</si>
  <si>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</si>
  <si>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</si>
  <si>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Design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</si>
  <si>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</si>
  <si>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</si>
  <si>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</si>
  <si>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</si>
  <si>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</si>
  <si>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</si>
  <si>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</si>
  <si>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</si>
  <si>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</si>
  <si>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Tmax =</t>
  </si>
  <si>
    <t>Tmin =</t>
  </si>
  <si>
    <t>Noise</t>
  </si>
  <si>
    <t>Acceleration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</si>
  <si>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</si>
  <si>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</si>
  <si>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</si>
  <si>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</si>
  <si>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</si>
  <si>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</si>
  <si>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</si>
  <si>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</si>
  <si>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Display</t>
  </si>
  <si>
    <t>Subjective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</si>
  <si>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</si>
  <si>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</si>
  <si>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</si>
  <si>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</si>
  <si>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</si>
  <si>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</si>
  <si>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</si>
  <si>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</si>
  <si>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</si>
  <si>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</si>
  <si>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</si>
  <si>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</si>
  <si>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</si>
  <si>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</si>
  <si>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</si>
  <si>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</si>
  <si>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</si>
  <si>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</si>
  <si>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Average</t>
  </si>
  <si>
    <t>Maximum</t>
  </si>
  <si>
    <t>Minimum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</si>
  <si>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</si>
  <si>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</si>
  <si>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</si>
  <si>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</si>
  <si>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</si>
  <si>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</si>
  <si>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</si>
  <si>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</si>
  <si>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</si>
  <si>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</si>
  <si>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</si>
  <si>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</si>
  <si>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FINAL EMISSIONS (grams/mile)</t>
  </si>
  <si>
    <t>No points for</t>
  </si>
  <si>
    <t>Weight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</si>
  <si>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</si>
  <si>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</si>
  <si>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</si>
  <si>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</si>
  <si>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</si>
  <si>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</si>
  <si>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</si>
  <si>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</si>
  <si>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</si>
  <si>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</si>
  <si>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</si>
  <si>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</si>
  <si>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</si>
  <si>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</si>
  <si>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</si>
  <si>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</si>
  <si>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</si>
  <si>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</si>
  <si>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</si>
  <si>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</si>
  <si>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</si>
  <si>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</si>
  <si>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</si>
  <si>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</si>
  <si>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</si>
  <si>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</si>
  <si>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</si>
  <si>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</si>
  <si>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</si>
  <si>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</si>
  <si>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</si>
  <si>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</si>
  <si>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</si>
  <si>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</si>
  <si>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</si>
  <si>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</si>
  <si>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</si>
  <si>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</si>
  <si>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</si>
  <si>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</si>
  <si>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</si>
  <si>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</si>
  <si>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</si>
  <si>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</si>
  <si>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</si>
  <si>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</si>
  <si>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</si>
  <si>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</si>
  <si>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</si>
  <si>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</si>
  <si>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</si>
  <si>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</si>
  <si>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</si>
  <si>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</si>
  <si>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</si>
  <si>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</si>
  <si>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</si>
  <si>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</si>
  <si>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</si>
  <si>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</si>
  <si>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</si>
  <si>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</si>
  <si>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</si>
  <si>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</si>
  <si>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</si>
  <si>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</si>
  <si>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</si>
  <si>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</si>
  <si>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</si>
  <si>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</si>
  <si>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</si>
  <si>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Note this page will be calculated by AVL in their computer.  Just copy and past results.</t>
  </si>
  <si>
    <t># of papers</t>
  </si>
  <si>
    <t>CO+NO+THC
g/mile</t>
  </si>
  <si>
    <t>m</t>
  </si>
  <si>
    <t>b</t>
  </si>
  <si>
    <t>Endurance</t>
  </si>
  <si>
    <t>Rank</t>
  </si>
  <si>
    <t>Top Speed</t>
  </si>
  <si>
    <t>Gas/Isobutanol</t>
  </si>
  <si>
    <t>Fuel consumed (gallons)</t>
  </si>
  <si>
    <t>Total Time must be Less than 12 seconds</t>
  </si>
  <si>
    <t>Design Paper
Judge</t>
  </si>
  <si>
    <t>#112 North Dakota State Univ</t>
  </si>
  <si>
    <t>#111 State University of New York at Buffalo</t>
  </si>
  <si>
    <t>SAE CSC 2016 Final Score Diesel Utility Class</t>
  </si>
  <si>
    <t>SAE CSC 2016 Design Paper DUC Class</t>
  </si>
  <si>
    <t>SAE CSC 2016 Static Display Results</t>
  </si>
  <si>
    <t>SAE CSC 2016 MSRP Results</t>
  </si>
  <si>
    <t>SAE CSC 2016 Acceleration Results Mike Rittenour - Polaris</t>
  </si>
  <si>
    <t>SAE CSC 2016 Subjective Ride Results - Event Coordinator - Polaris</t>
  </si>
  <si>
    <t>SAE CSC 2016 Fuel Economy/Endurance Results</t>
  </si>
  <si>
    <t>SAE CSC 2016 IC Engine Noise Testing</t>
  </si>
  <si>
    <t>SAE CSC 2016 Oral Presentation Results</t>
  </si>
  <si>
    <t>SAE CSC 2016 Lab Emission Testing Results</t>
  </si>
  <si>
    <t>SAE CSC 2016 In Service Emission Testing Results</t>
  </si>
  <si>
    <t>SAE CSC 2016 Cold Start Results</t>
  </si>
  <si>
    <t>SAE CSC 2016 Penalties</t>
  </si>
  <si>
    <t>SAE CSC 2016 IC Vehicle Weights</t>
  </si>
  <si>
    <t>delzinga</t>
  </si>
  <si>
    <t>Judge</t>
  </si>
  <si>
    <t>Kyle.Mattfield</t>
  </si>
  <si>
    <t>matt12345</t>
  </si>
  <si>
    <t>KurtPerson</t>
  </si>
  <si>
    <t>plywood</t>
  </si>
  <si>
    <t>Sledder86</t>
  </si>
  <si>
    <t>steve@wiem</t>
  </si>
  <si>
    <t>Kay Lloyd</t>
  </si>
  <si>
    <t>mbirt</t>
  </si>
  <si>
    <t>bob.bonneau</t>
  </si>
  <si>
    <t>chjarema</t>
  </si>
  <si>
    <t>Fieroshaw</t>
  </si>
  <si>
    <t>gree3501</t>
  </si>
  <si>
    <t>john.katnik</t>
  </si>
  <si>
    <t>jtdesroc</t>
  </si>
  <si>
    <t>Kaley</t>
  </si>
  <si>
    <t>sjnagy23</t>
  </si>
  <si>
    <t>Howard E Haines</t>
  </si>
  <si>
    <t>Craig Allen</t>
  </si>
  <si>
    <t>DNF</t>
  </si>
  <si>
    <t>JasonOllanketo</t>
  </si>
  <si>
    <t>Balaka</t>
  </si>
  <si>
    <t>Bailey</t>
  </si>
  <si>
    <t>Brit</t>
  </si>
  <si>
    <t>Bul</t>
  </si>
  <si>
    <t>Elzinga</t>
  </si>
  <si>
    <t>Cleveland</t>
  </si>
  <si>
    <t>Johnson</t>
  </si>
  <si>
    <t>Jal</t>
  </si>
  <si>
    <t>Leon</t>
  </si>
  <si>
    <t>Lloyd</t>
  </si>
  <si>
    <t>Walber</t>
  </si>
  <si>
    <t>P.S.</t>
  </si>
  <si>
    <t>Schiefer</t>
  </si>
  <si>
    <t>Ray Wm</t>
  </si>
  <si>
    <t>Low</t>
  </si>
  <si>
    <t>Zdral</t>
  </si>
  <si>
    <t>Denny</t>
  </si>
  <si>
    <t>Moyle</t>
  </si>
  <si>
    <t>Drew</t>
  </si>
  <si>
    <t>TimO</t>
  </si>
  <si>
    <t>Lee</t>
  </si>
  <si>
    <t>Stene</t>
  </si>
  <si>
    <t>K2</t>
  </si>
  <si>
    <t>MIS</t>
  </si>
  <si>
    <t>Jack</t>
  </si>
  <si>
    <t>N.M.</t>
  </si>
  <si>
    <t>Joel</t>
  </si>
  <si>
    <t>Oberski</t>
  </si>
  <si>
    <t>Dent</t>
  </si>
  <si>
    <t>Timm</t>
  </si>
  <si>
    <t>N.N.</t>
  </si>
  <si>
    <t>SAE CSC 2016 Draw Bar Pull - Event Coordinator - Mark Osborne</t>
  </si>
  <si>
    <t xml:space="preserve">Drawbar </t>
  </si>
  <si>
    <t>Pull</t>
  </si>
  <si>
    <t xml:space="preserve">Pull #1 </t>
  </si>
  <si>
    <t xml:space="preserve">Pull #2 </t>
  </si>
  <si>
    <t xml:space="preserve">Pull #3 </t>
  </si>
  <si>
    <t>lbs</t>
  </si>
  <si>
    <t>Maximum Pull</t>
  </si>
  <si>
    <t>min points:</t>
  </si>
  <si>
    <t>max points:</t>
  </si>
  <si>
    <t>DNC</t>
  </si>
  <si>
    <t>FAIL</t>
  </si>
  <si>
    <t>PASS</t>
  </si>
  <si>
    <t>Control Sled J1161 Noise Level Dba</t>
  </si>
  <si>
    <t>J1161 Level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</si>
</sst>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0.000000"/>
    <numFmt numFmtId="169" formatCode="0.000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rgb="FF00B050"/>
      <name val="Arial"/>
      <family val="2"/>
    </font>
    <font>
      <u/>
      <sz val="10"/>
      <name val="Arial"/>
      <family val="2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3" fillId="2" borderId="0" applyNumberFormat="0" applyBorder="0" applyAlignment="0" applyProtection="0"/>
    <xf numFmtId="44" fontId="34" fillId="0" borderId="0" applyFont="0" applyFill="0" applyBorder="0" applyAlignment="0" applyProtection="0"/>
    <xf numFmtId="0" fontId="6" fillId="0" borderId="0"/>
    <xf numFmtId="0" fontId="7" fillId="0" borderId="0"/>
    <xf numFmtId="0" fontId="5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44"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8" fillId="0" borderId="0" xfId="0" applyFont="1" applyAlignment="1" applyProtection="1">
      <alignment horizontal="center"/>
    </xf>
    <xf numFmtId="0" fontId="0" fillId="0" borderId="0" xfId="0" applyProtection="1"/>
    <xf numFmtId="0" fontId="13" fillId="0" borderId="0" xfId="0" applyFont="1" applyProtection="1"/>
    <xf numFmtId="0" fontId="9" fillId="0" borderId="0" xfId="0" applyFont="1" applyProtection="1"/>
    <xf numFmtId="0" fontId="0" fillId="0" borderId="0" xfId="0" applyAlignment="1" applyProtection="1">
      <alignment horizontal="right"/>
    </xf>
    <xf numFmtId="0" fontId="8" fillId="0" borderId="0" xfId="0" applyFont="1" applyProtection="1"/>
    <xf numFmtId="0" fontId="8" fillId="0" borderId="0" xfId="0" applyFont="1" applyFill="1" applyBorder="1" applyProtection="1"/>
    <xf numFmtId="0" fontId="0" fillId="0" borderId="0" xfId="0" applyFill="1" applyBorder="1" applyProtection="1"/>
    <xf numFmtId="0" fontId="8" fillId="0" borderId="0" xfId="0" applyFont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Protection="1"/>
    <xf numFmtId="1" fontId="8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Fill="1" applyBorder="1"/>
    <xf numFmtId="0" fontId="1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5" fillId="0" borderId="0" xfId="0" applyFont="1"/>
    <xf numFmtId="0" fontId="12" fillId="0" borderId="0" xfId="0" applyFont="1" applyFill="1" applyBorder="1" applyAlignment="1" applyProtection="1">
      <alignment horizontal="right"/>
    </xf>
    <xf numFmtId="1" fontId="8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44" fontId="14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2" fillId="0" borderId="0" xfId="0" applyNumberFormat="1" applyFont="1" applyAlignment="1" applyProtection="1">
      <alignment horizontal="right"/>
    </xf>
    <xf numFmtId="1" fontId="11" fillId="0" borderId="0" xfId="0" applyNumberFormat="1" applyFont="1" applyAlignment="1" applyProtection="1">
      <alignment horizontal="center"/>
    </xf>
    <xf numFmtId="1" fontId="12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1" fontId="10" fillId="0" borderId="0" xfId="0" applyNumberFormat="1" applyFont="1" applyAlignment="1" applyProtection="1">
      <alignment horizontal="right"/>
    </xf>
    <xf numFmtId="0" fontId="10" fillId="0" borderId="0" xfId="0" applyFont="1" applyProtection="1"/>
    <xf numFmtId="0" fontId="11" fillId="0" borderId="0" xfId="0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2" fillId="0" borderId="0" xfId="0" applyFont="1" applyFill="1"/>
    <xf numFmtId="0" fontId="11" fillId="0" borderId="0" xfId="0" applyFont="1" applyFill="1" applyAlignment="1" applyProtection="1">
      <alignment horizontal="center"/>
    </xf>
    <xf numFmtId="0" fontId="13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2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2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8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16" fillId="0" borderId="0" xfId="0" applyFont="1"/>
    <xf numFmtId="0" fontId="8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10" fillId="0" borderId="0" xfId="0" applyFont="1"/>
    <xf numFmtId="0" fontId="10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8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quotePrefix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0" fontId="11" fillId="0" borderId="0" xfId="0" applyFont="1" applyAlignment="1" applyProtection="1">
      <alignment horizontal="left"/>
    </xf>
    <xf numFmtId="1" fontId="11" fillId="0" borderId="0" xfId="0" applyNumberFormat="1" applyFont="1" applyAlignment="1" applyProtection="1">
      <alignment horizontal="right"/>
    </xf>
    <xf numFmtId="1" fontId="10" fillId="0" borderId="0" xfId="0" applyNumberFormat="1" applyFont="1" applyAlignment="1" applyProtection="1">
      <alignment horizontal="center"/>
    </xf>
    <xf numFmtId="165" fontId="10" fillId="0" borderId="0" xfId="0" applyNumberFormat="1" applyFont="1" applyProtection="1"/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Border="1" applyAlignment="1" applyProtection="1"/>
    <xf numFmtId="0" fontId="17" fillId="0" borderId="0" xfId="0" applyFont="1" applyBorder="1" applyProtection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/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/>
    <xf numFmtId="2" fontId="17" fillId="0" borderId="0" xfId="0" applyNumberFormat="1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166" fontId="18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Protection="1"/>
    <xf numFmtId="2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164" fontId="17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4" fontId="17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 applyProtection="1">
      <alignment horizontal="center"/>
    </xf>
    <xf numFmtId="0" fontId="19" fillId="0" borderId="0" xfId="0" applyFont="1" applyProtection="1"/>
    <xf numFmtId="0" fontId="12" fillId="0" borderId="0" xfId="0" applyFont="1" applyAlignment="1" applyProtection="1"/>
    <xf numFmtId="0" fontId="11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12" fillId="0" borderId="0" xfId="0" applyFont="1" applyAlignment="1"/>
    <xf numFmtId="2" fontId="12" fillId="0" borderId="0" xfId="0" applyNumberFormat="1" applyFont="1" applyFill="1" applyBorder="1" applyAlignment="1" applyProtection="1">
      <alignment horizontal="center"/>
    </xf>
    <xf numFmtId="167" fontId="12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2" fillId="0" borderId="0" xfId="0" applyFont="1" applyFill="1" applyBorder="1" applyAlignment="1" applyProtection="1">
      <alignment horizontal="center" wrapText="1"/>
    </xf>
    <xf numFmtId="165" fontId="11" fillId="0" borderId="0" xfId="0" applyNumberFormat="1" applyFont="1" applyFill="1" applyBorder="1" applyProtection="1"/>
    <xf numFmtId="0" fontId="8" fillId="0" borderId="0" xfId="0" applyFont="1"/>
    <xf numFmtId="2" fontId="8" fillId="0" borderId="0" xfId="0" applyNumberFormat="1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/>
    <xf numFmtId="1" fontId="9" fillId="0" borderId="0" xfId="0" applyNumberFormat="1" applyFont="1" applyProtection="1"/>
    <xf numFmtId="0" fontId="12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4" fillId="0" borderId="0" xfId="0" applyFont="1" applyAlignment="1" applyProtection="1">
      <alignment horizontal="center" wrapText="1"/>
    </xf>
    <xf numFmtId="2" fontId="10" fillId="0" borderId="0" xfId="0" applyNumberFormat="1" applyFont="1" applyAlignment="1" applyProtection="1">
      <alignment horizontal="center"/>
    </xf>
    <xf numFmtId="1" fontId="12" fillId="0" borderId="0" xfId="0" applyNumberFormat="1" applyFont="1" applyAlignment="1" applyProtection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Fill="1" applyAlignment="1">
      <alignment horizontal="center"/>
    </xf>
    <xf numFmtId="0" fontId="7" fillId="0" borderId="0" xfId="0" applyFont="1"/>
    <xf numFmtId="2" fontId="10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Protection="1"/>
    <xf numFmtId="164" fontId="8" fillId="0" borderId="0" xfId="0" quotePrefix="1" applyNumberFormat="1" applyFont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right"/>
    </xf>
    <xf numFmtId="164" fontId="8" fillId="0" borderId="0" xfId="0" applyNumberFormat="1" applyFont="1" applyBorder="1" applyAlignment="1" applyProtection="1">
      <alignment horizontal="left"/>
    </xf>
    <xf numFmtId="164" fontId="12" fillId="0" borderId="0" xfId="0" applyNumberFormat="1" applyFont="1" applyFill="1"/>
    <xf numFmtId="2" fontId="8" fillId="0" borderId="0" xfId="0" applyNumberFormat="1" applyFont="1" applyAlignment="1">
      <alignment horizontal="center"/>
    </xf>
    <xf numFmtId="0" fontId="25" fillId="0" borderId="0" xfId="0" applyFont="1" applyAlignment="1">
      <alignment horizontal="justify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2" fontId="17" fillId="0" borderId="0" xfId="0" applyNumberFormat="1" applyFont="1" applyFill="1" applyBorder="1" applyAlignment="1" applyProtection="1">
      <alignment horizontal="left"/>
    </xf>
    <xf numFmtId="0" fontId="10" fillId="0" borderId="0" xfId="0" applyFont="1" applyAlignment="1"/>
    <xf numFmtId="1" fontId="21" fillId="0" borderId="0" xfId="0" applyNumberFormat="1" applyFont="1" applyAlignment="1" applyProtection="1">
      <alignment horizontal="center"/>
    </xf>
    <xf numFmtId="164" fontId="20" fillId="0" borderId="1" xfId="0" applyNumberFormat="1" applyFont="1" applyBorder="1" applyAlignment="1">
      <alignment horizontal="center"/>
    </xf>
    <xf numFmtId="1" fontId="20" fillId="0" borderId="0" xfId="0" applyNumberFormat="1" applyFont="1" applyAlignment="1" applyProtection="1">
      <alignment horizontal="center"/>
    </xf>
    <xf numFmtId="166" fontId="20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27" fillId="0" borderId="0" xfId="0" applyFont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0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" fontId="10" fillId="0" borderId="1" xfId="0" applyNumberFormat="1" applyFont="1" applyFill="1" applyBorder="1" applyAlignment="1" applyProtection="1">
      <alignment horizontal="center"/>
    </xf>
    <xf numFmtId="0" fontId="10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10" fillId="0" borderId="0" xfId="0" applyNumberFormat="1" applyFont="1" applyProtection="1"/>
    <xf numFmtId="2" fontId="12" fillId="0" borderId="0" xfId="0" applyNumberFormat="1" applyFont="1" applyProtection="1"/>
    <xf numFmtId="1" fontId="0" fillId="0" borderId="0" xfId="0" applyNumberFormat="1" applyBorder="1"/>
    <xf numFmtId="0" fontId="10" fillId="0" borderId="0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left"/>
    </xf>
    <xf numFmtId="0" fontId="29" fillId="0" borderId="0" xfId="0" applyFont="1" applyProtection="1"/>
    <xf numFmtId="0" fontId="30" fillId="0" borderId="0" xfId="0" applyFont="1"/>
    <xf numFmtId="0" fontId="30" fillId="0" borderId="0" xfId="0" applyFont="1" applyProtection="1"/>
    <xf numFmtId="0" fontId="8" fillId="0" borderId="2" xfId="0" applyFont="1" applyBorder="1" applyAlignment="1">
      <alignment horizontal="centerContinuous"/>
    </xf>
    <xf numFmtId="0" fontId="12" fillId="0" borderId="0" xfId="0" applyFont="1" applyAlignment="1" applyProtection="1">
      <alignment horizontal="centerContinuous"/>
    </xf>
    <xf numFmtId="0" fontId="12" fillId="0" borderId="3" xfId="0" applyFont="1" applyBorder="1" applyAlignment="1" applyProtection="1">
      <alignment horizontal="centerContinuous"/>
    </xf>
    <xf numFmtId="0" fontId="12" fillId="0" borderId="4" xfId="0" applyFont="1" applyBorder="1" applyAlignment="1" applyProtection="1">
      <alignment horizontal="centerContinuous"/>
    </xf>
    <xf numFmtId="0" fontId="12" fillId="0" borderId="2" xfId="0" applyFont="1" applyBorder="1" applyAlignment="1" applyProtection="1">
      <alignment horizontal="centerContinuous"/>
    </xf>
    <xf numFmtId="0" fontId="12" fillId="0" borderId="6" xfId="0" applyFont="1" applyFill="1" applyBorder="1" applyProtection="1"/>
    <xf numFmtId="0" fontId="12" fillId="0" borderId="5" xfId="0" applyFont="1" applyFill="1" applyBorder="1" applyProtection="1"/>
    <xf numFmtId="0" fontId="8" fillId="0" borderId="0" xfId="0" applyFont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center" wrapText="1"/>
    </xf>
    <xf numFmtId="164" fontId="7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164" fontId="11" fillId="0" borderId="1" xfId="0" applyNumberFormat="1" applyFont="1" applyFill="1" applyBorder="1" applyAlignment="1" applyProtection="1">
      <alignment horizontal="center"/>
    </xf>
    <xf numFmtId="0" fontId="30" fillId="0" borderId="0" xfId="0" applyFont="1" applyAlignment="1" applyProtection="1"/>
    <xf numFmtId="0" fontId="30" fillId="0" borderId="0" xfId="0" applyFont="1" applyFill="1"/>
    <xf numFmtId="0" fontId="7" fillId="0" borderId="0" xfId="0" applyFont="1" applyAlignment="1"/>
    <xf numFmtId="0" fontId="7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Protection="1"/>
    <xf numFmtId="1" fontId="7" fillId="0" borderId="1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Fill="1" applyBorder="1" applyProtection="1"/>
    <xf numFmtId="1" fontId="7" fillId="0" borderId="0" xfId="0" applyNumberFormat="1" applyFont="1" applyAlignment="1" applyProtection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164" fontId="7" fillId="0" borderId="0" xfId="0" applyNumberFormat="1" applyFont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Border="1"/>
    <xf numFmtId="165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44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164" fontId="32" fillId="0" borderId="1" xfId="1" applyNumberFormat="1" applyFont="1" applyFill="1" applyBorder="1" applyAlignment="1" applyProtection="1">
      <alignment horizontal="center"/>
    </xf>
    <xf numFmtId="164" fontId="0" fillId="0" borderId="0" xfId="0" applyNumberFormat="1" applyAlignment="1">
      <alignment horizontal="center"/>
    </xf>
    <xf numFmtId="2" fontId="12" fillId="0" borderId="0" xfId="0" applyNumberFormat="1" applyFont="1" applyAlignment="1" applyProtection="1"/>
    <xf numFmtId="0" fontId="12" fillId="0" borderId="0" xfId="0" applyNumberFormat="1" applyFont="1" applyProtection="1"/>
    <xf numFmtId="0" fontId="12" fillId="0" borderId="0" xfId="0" applyNumberFormat="1" applyFont="1" applyFill="1" applyBorder="1" applyProtection="1"/>
    <xf numFmtId="0" fontId="11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NumberFormat="1" applyFont="1"/>
    <xf numFmtId="0" fontId="0" fillId="0" borderId="0" xfId="0" applyNumberFormat="1"/>
    <xf numFmtId="165" fontId="12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7" fillId="0" borderId="0" xfId="0" applyNumberFormat="1" applyFont="1" applyBorder="1" applyAlignment="1" applyProtection="1">
      <alignment horizontal="left"/>
    </xf>
    <xf numFmtId="165" fontId="33" fillId="0" borderId="0" xfId="1" applyNumberFormat="1" applyFill="1" applyBorder="1" applyProtection="1"/>
    <xf numFmtId="166" fontId="8" fillId="0" borderId="1" xfId="0" applyNumberFormat="1" applyFont="1" applyFill="1" applyBorder="1" applyAlignment="1" applyProtection="1">
      <alignment horizontal="center"/>
    </xf>
    <xf numFmtId="0" fontId="32" fillId="0" borderId="1" xfId="1" applyFont="1" applyFill="1" applyBorder="1" applyAlignment="1" applyProtection="1">
      <alignment horizontal="center"/>
    </xf>
    <xf numFmtId="166" fontId="12" fillId="0" borderId="0" xfId="0" applyNumberFormat="1" applyFont="1" applyFill="1" applyBorder="1" applyProtection="1"/>
    <xf numFmtId="166" fontId="12" fillId="0" borderId="0" xfId="0" applyNumberFormat="1" applyFont="1" applyProtection="1"/>
    <xf numFmtId="1" fontId="12" fillId="0" borderId="0" xfId="0" applyNumberFormat="1" applyFont="1" applyFill="1" applyBorder="1" applyAlignment="1" applyProtection="1">
      <alignment horizontal="center"/>
    </xf>
    <xf numFmtId="44" fontId="12" fillId="0" borderId="0" xfId="2" applyFont="1" applyFill="1" applyBorder="1" applyAlignment="1" applyProtection="1">
      <alignment horizontal="center"/>
    </xf>
    <xf numFmtId="44" fontId="0" fillId="0" borderId="0" xfId="2" applyFont="1"/>
    <xf numFmtId="168" fontId="12" fillId="0" borderId="0" xfId="0" applyNumberFormat="1" applyFont="1" applyFill="1" applyBorder="1" applyAlignment="1" applyProtection="1">
      <alignment horizontal="center"/>
    </xf>
    <xf numFmtId="164" fontId="29" fillId="0" borderId="0" xfId="0" applyNumberFormat="1" applyFont="1" applyBorder="1" applyAlignment="1" applyProtection="1">
      <alignment horizontal="center"/>
    </xf>
    <xf numFmtId="0" fontId="30" fillId="0" borderId="0" xfId="0" applyFont="1" applyBorder="1"/>
    <xf numFmtId="0" fontId="30" fillId="0" borderId="0" xfId="0" applyFont="1" applyFill="1" applyBorder="1"/>
    <xf numFmtId="0" fontId="29" fillId="0" borderId="0" xfId="0" applyFont="1" applyBorder="1" applyAlignment="1" applyProtection="1">
      <alignment horizontal="center"/>
    </xf>
    <xf numFmtId="1" fontId="29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64" fontId="29" fillId="0" borderId="0" xfId="0" applyNumberFormat="1" applyFont="1" applyFill="1" applyBorder="1" applyAlignment="1" applyProtection="1">
      <alignment horizontal="center"/>
    </xf>
    <xf numFmtId="164" fontId="29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2" fontId="30" fillId="0" borderId="0" xfId="0" applyNumberFormat="1" applyFont="1" applyFill="1" applyBorder="1" applyAlignment="1" applyProtection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38" fillId="0" borderId="0" xfId="0" applyFont="1"/>
    <xf numFmtId="1" fontId="30" fillId="0" borderId="0" xfId="0" applyNumberFormat="1" applyFont="1" applyAlignment="1">
      <alignment horizontal="center"/>
    </xf>
    <xf numFmtId="2" fontId="8" fillId="0" borderId="0" xfId="0" applyNumberFormat="1" applyFont="1" applyFill="1" applyAlignment="1" applyProtection="1">
      <alignment horizontal="center"/>
    </xf>
    <xf numFmtId="165" fontId="7" fillId="0" borderId="0" xfId="0" applyNumberFormat="1" applyFont="1" applyFill="1" applyBorder="1" applyProtection="1"/>
    <xf numFmtId="2" fontId="7" fillId="0" borderId="0" xfId="0" applyNumberFormat="1" applyFont="1"/>
    <xf numFmtId="165" fontId="32" fillId="0" borderId="0" xfId="1" applyNumberFormat="1" applyFont="1" applyFill="1" applyBorder="1" applyProtection="1"/>
    <xf numFmtId="0" fontId="30" fillId="0" borderId="0" xfId="0" applyFont="1" applyFill="1" applyBorder="1" applyAlignment="1">
      <alignment horizontal="center"/>
    </xf>
    <xf numFmtId="2" fontId="0" fillId="0" borderId="1" xfId="0" applyNumberForma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right"/>
    </xf>
    <xf numFmtId="164" fontId="8" fillId="0" borderId="0" xfId="0" applyNumberFormat="1" applyFont="1" applyFill="1" applyAlignment="1" applyProtection="1">
      <alignment horizontal="center"/>
    </xf>
    <xf numFmtId="0" fontId="29" fillId="0" borderId="0" xfId="0" applyFont="1" applyFill="1" applyBorder="1" applyProtection="1"/>
    <xf numFmtId="0" fontId="13" fillId="0" borderId="0" xfId="0" applyFont="1" applyAlignment="1">
      <alignment horizontal="left"/>
    </xf>
    <xf numFmtId="0" fontId="30" fillId="0" borderId="0" xfId="0" applyFont="1" applyBorder="1" applyAlignment="1">
      <alignment horizontal="left" wrapText="1"/>
    </xf>
    <xf numFmtId="2" fontId="7" fillId="0" borderId="1" xfId="0" applyNumberFormat="1" applyFont="1" applyBorder="1" applyAlignment="1" applyProtection="1">
      <alignment horizontal="center"/>
    </xf>
    <xf numFmtId="1" fontId="30" fillId="0" borderId="0" xfId="0" applyNumberFormat="1" applyFont="1" applyBorder="1" applyAlignment="1" applyProtection="1">
      <alignment horizontal="left"/>
    </xf>
    <xf numFmtId="2" fontId="7" fillId="0" borderId="0" xfId="0" applyNumberFormat="1" applyFont="1" applyBorder="1" applyAlignment="1" applyProtection="1">
      <alignment horizontal="left"/>
    </xf>
    <xf numFmtId="0" fontId="7" fillId="0" borderId="0" xfId="0" applyFont="1" applyFill="1" applyBorder="1"/>
    <xf numFmtId="164" fontId="7" fillId="0" borderId="0" xfId="0" applyNumberFormat="1" applyFont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center" wrapText="1"/>
    </xf>
    <xf numFmtId="0" fontId="36" fillId="0" borderId="0" xfId="0" applyFont="1" applyAlignment="1"/>
    <xf numFmtId="0" fontId="36" fillId="0" borderId="0" xfId="0" applyFont="1"/>
    <xf numFmtId="0" fontId="36" fillId="0" borderId="1" xfId="0" applyFont="1" applyBorder="1" applyAlignment="1"/>
    <xf numFmtId="0" fontId="7" fillId="0" borderId="1" xfId="0" applyFont="1" applyBorder="1" applyAlignment="1"/>
    <xf numFmtId="0" fontId="0" fillId="0" borderId="1" xfId="0" applyBorder="1" applyAlignment="1"/>
    <xf numFmtId="164" fontId="10" fillId="0" borderId="0" xfId="0" applyNumberFormat="1" applyFont="1" applyAlignment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Alignment="1">
      <alignment horizontal="right"/>
    </xf>
    <xf numFmtId="0" fontId="25" fillId="0" borderId="0" xfId="0" applyFont="1" applyAlignment="1">
      <alignment horizontal="left" indent="12"/>
    </xf>
    <xf numFmtId="0" fontId="7" fillId="0" borderId="0" xfId="0" applyFont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Continuous"/>
    </xf>
    <xf numFmtId="2" fontId="0" fillId="0" borderId="2" xfId="0" applyNumberFormat="1" applyBorder="1" applyAlignment="1">
      <alignment horizontal="centerContinuous"/>
    </xf>
    <xf numFmtId="2" fontId="0" fillId="0" borderId="5" xfId="0" applyNumberFormat="1" applyBorder="1"/>
    <xf numFmtId="2" fontId="8" fillId="0" borderId="8" xfId="0" applyNumberFormat="1" applyFont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0" borderId="0" xfId="0" applyNumberFormat="1" applyFont="1"/>
    <xf numFmtId="2" fontId="0" fillId="0" borderId="0" xfId="0" applyNumberFormat="1"/>
    <xf numFmtId="2" fontId="11" fillId="0" borderId="0" xfId="0" applyNumberFormat="1" applyFont="1" applyFill="1" applyAlignment="1" applyProtection="1">
      <alignment horizontal="center"/>
    </xf>
    <xf numFmtId="0" fontId="39" fillId="0" borderId="0" xfId="0" applyFont="1" applyFill="1" applyAlignment="1" applyProtection="1">
      <alignment horizontal="center"/>
    </xf>
    <xf numFmtId="0" fontId="39" fillId="0" borderId="0" xfId="0" applyFont="1" applyFill="1" applyAlignment="1">
      <alignment horizontal="center"/>
    </xf>
    <xf numFmtId="2" fontId="39" fillId="0" borderId="0" xfId="0" applyNumberFormat="1" applyFont="1" applyFill="1" applyAlignment="1" applyProtection="1">
      <alignment horizontal="center"/>
    </xf>
    <xf numFmtId="0" fontId="40" fillId="0" borderId="0" xfId="0" applyFont="1" applyFill="1" applyAlignment="1">
      <alignment horizontal="center"/>
    </xf>
    <xf numFmtId="164" fontId="41" fillId="0" borderId="1" xfId="1" applyNumberFormat="1" applyFont="1" applyFill="1" applyBorder="1" applyAlignment="1" applyProtection="1">
      <alignment horizontal="center"/>
    </xf>
    <xf numFmtId="0" fontId="32" fillId="0" borderId="0" xfId="1" applyFont="1" applyFill="1" applyBorder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169" fontId="7" fillId="0" borderId="0" xfId="0" applyNumberFormat="1" applyFont="1" applyAlignment="1" applyProtection="1">
      <alignment horizontal="center"/>
    </xf>
    <xf numFmtId="169" fontId="10" fillId="0" borderId="0" xfId="0" applyNumberFormat="1" applyFont="1" applyAlignment="1" applyProtection="1">
      <alignment horizontal="center"/>
    </xf>
    <xf numFmtId="0" fontId="28" fillId="0" borderId="0" xfId="3" applyFont="1" applyBorder="1" applyAlignment="1">
      <alignment horizontal="left" wrapText="1"/>
    </xf>
    <xf numFmtId="0" fontId="33" fillId="0" borderId="1" xfId="1" applyFont="1" applyFill="1" applyBorder="1" applyAlignment="1" applyProtection="1">
      <alignment horizontal="center"/>
    </xf>
    <xf numFmtId="0" fontId="45" fillId="0" borderId="0" xfId="0" applyFont="1" applyFill="1" applyAlignment="1" applyProtection="1">
      <alignment horizontal="center"/>
    </xf>
    <xf numFmtId="0" fontId="46" fillId="0" borderId="0" xfId="0" applyFont="1" applyAlignment="1">
      <alignment horizontal="left"/>
    </xf>
    <xf numFmtId="0" fontId="46" fillId="0" borderId="0" xfId="0" applyFont="1"/>
    <xf numFmtId="0" fontId="35" fillId="0" borderId="0" xfId="1" applyFont="1" applyFill="1" applyAlignment="1" applyProtection="1">
      <alignment horizontal="center"/>
    </xf>
    <xf numFmtId="0" fontId="30" fillId="0" borderId="0" xfId="0" applyFont="1" applyFill="1" applyBorder="1" applyProtection="1"/>
    <xf numFmtId="2" fontId="47" fillId="0" borderId="0" xfId="0" applyNumberFormat="1" applyFont="1" applyFill="1" applyBorder="1" applyAlignment="1" applyProtection="1">
      <alignment horizontal="center"/>
    </xf>
    <xf numFmtId="2" fontId="25" fillId="0" borderId="0" xfId="0" applyNumberFormat="1" applyFont="1" applyAlignment="1"/>
    <xf numFmtId="2" fontId="26" fillId="0" borderId="0" xfId="0" applyNumberFormat="1" applyFont="1" applyAlignment="1"/>
    <xf numFmtId="0" fontId="7" fillId="0" borderId="1" xfId="0" applyFont="1" applyBorder="1" applyAlignment="1">
      <alignment horizontal="center"/>
    </xf>
    <xf numFmtId="0" fontId="32" fillId="0" borderId="0" xfId="1" applyFont="1" applyFill="1" applyAlignment="1" applyProtection="1">
      <alignment horizontal="center"/>
    </xf>
    <xf numFmtId="2" fontId="32" fillId="0" borderId="0" xfId="1" applyNumberFormat="1" applyFont="1" applyFill="1" applyBorder="1" applyAlignment="1">
      <alignment horizontal="center"/>
    </xf>
    <xf numFmtId="164" fontId="32" fillId="0" borderId="1" xfId="1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7" fillId="0" borderId="0" xfId="0" applyNumberFormat="1" applyFont="1" applyAlignment="1">
      <alignment horizontal="center"/>
    </xf>
    <xf numFmtId="169" fontId="7" fillId="0" borderId="1" xfId="0" applyNumberFormat="1" applyFont="1" applyBorder="1" applyAlignment="1">
      <alignment horizontal="center"/>
    </xf>
    <xf numFmtId="164" fontId="32" fillId="0" borderId="10" xfId="1" applyNumberFormat="1" applyFont="1" applyFill="1" applyBorder="1" applyAlignment="1">
      <alignment horizontal="center"/>
    </xf>
    <xf numFmtId="0" fontId="7" fillId="0" borderId="1" xfId="0" applyFont="1" applyBorder="1"/>
    <xf numFmtId="0" fontId="44" fillId="0" borderId="0" xfId="0" applyFont="1"/>
    <xf numFmtId="0" fontId="48" fillId="0" borderId="0" xfId="0" applyFont="1" applyAlignment="1" applyProtection="1">
      <alignment horizontal="left"/>
    </xf>
    <xf numFmtId="0" fontId="48" fillId="0" borderId="0" xfId="0" applyFont="1" applyProtection="1"/>
    <xf numFmtId="0" fontId="8" fillId="0" borderId="0" xfId="0" applyFont="1" applyFill="1" applyBorder="1" applyAlignment="1" applyProtection="1">
      <alignment horizontal="left"/>
    </xf>
    <xf numFmtId="1" fontId="8" fillId="0" borderId="0" xfId="0" applyNumberFormat="1" applyFont="1" applyBorder="1" applyAlignment="1" applyProtection="1"/>
    <xf numFmtId="1" fontId="11" fillId="0" borderId="0" xfId="0" applyNumberFormat="1" applyFont="1" applyBorder="1" applyAlignment="1" applyProtection="1"/>
    <xf numFmtId="1" fontId="8" fillId="0" borderId="0" xfId="0" applyNumberFormat="1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41" fillId="0" borderId="0" xfId="1" applyFont="1" applyFill="1" applyBorder="1" applyAlignment="1"/>
    <xf numFmtId="164" fontId="49" fillId="0" borderId="1" xfId="0" applyNumberFormat="1" applyFont="1" applyBorder="1" applyAlignment="1">
      <alignment horizontal="center"/>
    </xf>
    <xf numFmtId="164" fontId="49" fillId="0" borderId="12" xfId="0" applyNumberFormat="1" applyFont="1" applyBorder="1" applyAlignment="1">
      <alignment horizontal="center"/>
    </xf>
    <xf numFmtId="164" fontId="49" fillId="0" borderId="11" xfId="0" applyNumberFormat="1" applyFont="1" applyBorder="1" applyAlignment="1">
      <alignment horizontal="center"/>
    </xf>
    <xf numFmtId="164" fontId="49" fillId="0" borderId="13" xfId="0" applyNumberFormat="1" applyFont="1" applyBorder="1" applyAlignment="1">
      <alignment horizontal="center"/>
    </xf>
    <xf numFmtId="0" fontId="16" fillId="0" borderId="0" xfId="0" applyFont="1" applyAlignment="1" applyProtection="1"/>
    <xf numFmtId="164" fontId="8" fillId="0" borderId="0" xfId="0" applyNumberFormat="1" applyFont="1"/>
    <xf numFmtId="2" fontId="13" fillId="0" borderId="0" xfId="0" applyNumberFormat="1" applyFont="1" applyProtection="1"/>
    <xf numFmtId="2" fontId="8" fillId="0" borderId="0" xfId="0" applyNumberFormat="1" applyFont="1" applyProtection="1"/>
    <xf numFmtId="2" fontId="11" fillId="0" borderId="0" xfId="0" applyNumberFormat="1" applyFont="1" applyFill="1" applyBorder="1" applyAlignment="1" applyProtection="1">
      <alignment horizontal="center" wrapText="1"/>
    </xf>
    <xf numFmtId="164" fontId="32" fillId="0" borderId="1" xfId="1" applyNumberFormat="1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50" fillId="0" borderId="0" xfId="0" applyNumberFormat="1" applyFont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" fontId="49" fillId="3" borderId="1" xfId="0" applyNumberFormat="1" applyFont="1" applyFill="1" applyBorder="1" applyAlignment="1">
      <alignment horizontal="center"/>
    </xf>
    <xf numFmtId="1" fontId="49" fillId="3" borderId="11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wrapText="1"/>
    </xf>
    <xf numFmtId="2" fontId="7" fillId="3" borderId="1" xfId="0" applyNumberFormat="1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69" fontId="7" fillId="0" borderId="11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167" fontId="51" fillId="0" borderId="0" xfId="0" applyNumberFormat="1" applyFont="1" applyAlignment="1">
      <alignment horizontal="center"/>
    </xf>
    <xf numFmtId="2" fontId="52" fillId="0" borderId="0" xfId="0" applyNumberFormat="1" applyFont="1" applyAlignment="1">
      <alignment horizontal="center"/>
    </xf>
    <xf numFmtId="0" fontId="53" fillId="0" borderId="1" xfId="0" applyFont="1" applyBorder="1"/>
    <xf numFmtId="0" fontId="7" fillId="0" borderId="12" xfId="0" applyFont="1" applyBorder="1"/>
    <xf numFmtId="0" fontId="13" fillId="0" borderId="0" xfId="0" applyFont="1"/>
    <xf numFmtId="2" fontId="49" fillId="0" borderId="1" xfId="0" applyNumberFormat="1" applyFont="1" applyBorder="1" applyAlignment="1">
      <alignment horizontal="center"/>
    </xf>
    <xf numFmtId="2" fontId="49" fillId="0" borderId="12" xfId="0" applyNumberFormat="1" applyFont="1" applyBorder="1" applyAlignment="1">
      <alignment horizontal="center"/>
    </xf>
    <xf numFmtId="2" fontId="49" fillId="0" borderId="11" xfId="0" applyNumberFormat="1" applyFont="1" applyBorder="1" applyAlignment="1">
      <alignment horizontal="center"/>
    </xf>
    <xf numFmtId="2" fontId="49" fillId="0" borderId="13" xfId="0" applyNumberFormat="1" applyFont="1" applyBorder="1" applyAlignment="1">
      <alignment horizontal="center"/>
    </xf>
    <xf numFmtId="2" fontId="7" fillId="0" borderId="11" xfId="0" applyNumberFormat="1" applyFont="1" applyBorder="1"/>
    <xf numFmtId="2" fontId="7" fillId="0" borderId="12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2" fontId="7" fillId="0" borderId="11" xfId="0" applyNumberFormat="1" applyFont="1" applyBorder="1" applyAlignment="1">
      <alignment horizontal="right"/>
    </xf>
    <xf numFmtId="2" fontId="7" fillId="0" borderId="13" xfId="0" applyNumberFormat="1" applyFont="1" applyBorder="1" applyAlignment="1">
      <alignment horizontal="right"/>
    </xf>
    <xf numFmtId="2" fontId="51" fillId="0" borderId="13" xfId="0" applyNumberFormat="1" applyFont="1" applyBorder="1"/>
    <xf numFmtId="164" fontId="52" fillId="0" borderId="13" xfId="0" applyNumberFormat="1" applyFont="1" applyBorder="1" applyAlignment="1">
      <alignment horizontal="center"/>
    </xf>
    <xf numFmtId="2" fontId="52" fillId="0" borderId="11" xfId="0" applyNumberFormat="1" applyFont="1" applyBorder="1" applyAlignment="1">
      <alignment horizontal="center"/>
    </xf>
    <xf numFmtId="2" fontId="52" fillId="0" borderId="13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3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4" fillId="0" borderId="0" xfId="0" applyFont="1" applyAlignment="1">
      <alignment wrapText="1"/>
    </xf>
    <xf numFmtId="0" fontId="36" fillId="0" borderId="11" xfId="0" applyFont="1" applyBorder="1" applyAlignment="1"/>
    <xf numFmtId="0" fontId="7" fillId="0" borderId="1" xfId="0" applyFont="1" applyBorder="1" applyAlignment="1">
      <alignment horizontal="center" wrapText="1"/>
    </xf>
    <xf numFmtId="164" fontId="30" fillId="0" borderId="0" xfId="0" applyNumberFormat="1" applyFont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164" fontId="30" fillId="0" borderId="0" xfId="0" applyNumberFormat="1" applyFont="1" applyAlignment="1">
      <alignment horizontal="center"/>
    </xf>
    <xf numFmtId="0" fontId="5" fillId="4" borderId="1" xfId="0" applyFont="1" applyFill="1" applyBorder="1"/>
    <xf numFmtId="0" fontId="55" fillId="0" borderId="0" xfId="0" applyFont="1" applyBorder="1" applyAlignment="1" applyProtection="1">
      <alignment horizontal="left" wrapText="1"/>
    </xf>
    <xf numFmtId="0" fontId="55" fillId="0" borderId="0" xfId="0" applyFont="1" applyBorder="1" applyAlignment="1" applyProtection="1">
      <alignment horizontal="left"/>
    </xf>
    <xf numFmtId="0" fontId="55" fillId="0" borderId="0" xfId="0" applyFont="1" applyBorder="1" applyAlignment="1">
      <alignment horizontal="left"/>
    </xf>
    <xf numFmtId="0" fontId="29" fillId="0" borderId="0" xfId="0" applyFont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29" fillId="0" borderId="0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8" fillId="0" borderId="1" xfId="5" applyFont="1" applyBorder="1" applyAlignment="1"/>
    <xf numFmtId="0" fontId="29" fillId="0" borderId="0" xfId="0" applyFont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/>
    </xf>
    <xf numFmtId="44" fontId="8" fillId="0" borderId="0" xfId="4" applyNumberFormat="1" applyFont="1" applyAlignment="1">
      <alignment horizontal="right"/>
    </xf>
    <xf numFmtId="0" fontId="7" fillId="0" borderId="1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59" fillId="5" borderId="1" xfId="4" applyFont="1" applyFill="1" applyBorder="1" applyAlignment="1">
      <alignment horizontal="center" wrapText="1"/>
    </xf>
    <xf numFmtId="1" fontId="49" fillId="0" borderId="11" xfId="0" applyNumberFormat="1" applyFont="1" applyBorder="1" applyAlignment="1">
      <alignment horizontal="center"/>
    </xf>
    <xf numFmtId="0" fontId="0" fillId="0" borderId="0" xfId="0"/>
    <xf numFmtId="1" fontId="0" fillId="0" borderId="1" xfId="0" applyNumberFormat="1" applyBorder="1"/>
    <xf numFmtId="2" fontId="49" fillId="3" borderId="11" xfId="4" applyNumberFormat="1" applyFont="1" applyFill="1" applyBorder="1" applyAlignment="1">
      <alignment horizontal="center"/>
    </xf>
    <xf numFmtId="0" fontId="1" fillId="0" borderId="1" xfId="9" applyBorder="1"/>
    <xf numFmtId="0" fontId="1" fillId="0" borderId="0" xfId="9"/>
    <xf numFmtId="0" fontId="1" fillId="0" borderId="0" xfId="9"/>
    <xf numFmtId="0" fontId="1" fillId="0" borderId="0" xfId="9"/>
    <xf numFmtId="164" fontId="32" fillId="0" borderId="1" xfId="1" applyNumberFormat="1" applyFont="1" applyFill="1" applyBorder="1" applyAlignment="1">
      <alignment horizontal="center"/>
    </xf>
    <xf numFmtId="0" fontId="13" fillId="0" borderId="0" xfId="0" applyFont="1" applyAlignment="1" applyProtection="1">
      <alignment wrapText="1"/>
    </xf>
    <xf numFmtId="0" fontId="43" fillId="0" borderId="0" xfId="3" applyFont="1" applyBorder="1" applyAlignment="1"/>
    <xf numFmtId="0" fontId="43" fillId="0" borderId="0" xfId="3" applyFont="1" applyBorder="1" applyAlignment="1">
      <alignment wrapText="1"/>
    </xf>
    <xf numFmtId="0" fontId="44" fillId="0" borderId="0" xfId="1" applyFont="1" applyFill="1" applyBorder="1" applyAlignment="1"/>
    <xf numFmtId="0" fontId="43" fillId="0" borderId="0" xfId="3" applyFont="1" applyBorder="1" applyAlignment="1">
      <alignment vertical="center" wrapText="1"/>
    </xf>
  </cellXfs>
  <cellStyles count="10">
    <cellStyle name="Bad" xfId="1" builtinId="27"/>
    <cellStyle name="Currency" xfId="2" builtinId="4"/>
    <cellStyle name="Currency 2" xfId="6"/>
    <cellStyle name="Hyperlink" xfId="5" builtinId="8"/>
    <cellStyle name="Normal" xfId="0" builtinId="0"/>
    <cellStyle name="Normal 2" xfId="3"/>
    <cellStyle name="Normal 2 2" xfId="7"/>
    <cellStyle name="Normal 2 3" xfId="8"/>
    <cellStyle name="Normal 3" xfId="4"/>
    <cellStyle name="Normal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9525</xdr:rowOff>
    </xdr:from>
    <xdr:to>
      <xdr:col>36</xdr:col>
      <xdr:colOff>0</xdr:colOff>
      <xdr:row>30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eve@wie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44"/>
  <sheetViews>
    <sheetView tabSelected="1" zoomScale="70" zoomScaleNormal="70" zoomScalePageLayoutView="125" workbookViewId="0">
      <selection activeCell="F24" sqref="F24"/>
    </sheetView>
  </sheetViews>
  <sheetFormatPr defaultColWidth="8.88671875" defaultRowHeight="13.2"/>
  <cols>
    <col min="1" max="1" width="53.44140625" customWidth="1"/>
    <col min="2" max="2" width="14.88671875" customWidth="1"/>
    <col min="3" max="3" width="11.88671875" style="3" customWidth="1"/>
    <col min="4" max="4" width="10.44140625" customWidth="1"/>
    <col min="5" max="5" width="12.88671875" customWidth="1"/>
    <col min="6" max="6" width="12.44140625" customWidth="1"/>
    <col min="8" max="8" width="11.44140625" customWidth="1"/>
    <col min="9" max="9" width="15.33203125" customWidth="1"/>
    <col min="10" max="10" width="15.44140625" style="169" customWidth="1"/>
    <col min="11" max="11" width="15.44140625" style="3" customWidth="1"/>
    <col min="12" max="12" width="9.33203125" customWidth="1"/>
    <col min="13" max="13" width="12.44140625" customWidth="1"/>
    <col min="14" max="14" width="11.109375" customWidth="1"/>
    <col min="15" max="15" width="12.44140625" customWidth="1"/>
    <col min="16" max="16" width="15.44140625" customWidth="1"/>
  </cols>
  <sheetData>
    <row r="1" spans="1:19" ht="34.799999999999997">
      <c r="A1" s="439" t="s">
        <v>163</v>
      </c>
      <c r="B1" s="6"/>
      <c r="C1" s="18"/>
      <c r="D1" s="6"/>
      <c r="E1" s="6"/>
      <c r="F1" s="10" t="s">
        <v>154</v>
      </c>
      <c r="G1" s="38"/>
      <c r="H1" s="6"/>
      <c r="I1" s="6"/>
      <c r="J1" s="168"/>
      <c r="K1" s="126" t="s">
        <v>79</v>
      </c>
      <c r="L1" s="6"/>
      <c r="M1" s="6"/>
      <c r="N1" s="6"/>
      <c r="O1" s="6"/>
    </row>
    <row r="2" spans="1:19">
      <c r="A2" s="6"/>
      <c r="B2" s="5" t="s">
        <v>18</v>
      </c>
      <c r="C2" s="5" t="s">
        <v>5</v>
      </c>
      <c r="D2" s="6"/>
      <c r="E2" s="10" t="s">
        <v>41</v>
      </c>
      <c r="F2" s="5" t="s">
        <v>35</v>
      </c>
      <c r="G2" s="38"/>
      <c r="H2" s="6"/>
      <c r="I2" s="6"/>
      <c r="J2" s="79" t="s">
        <v>78</v>
      </c>
      <c r="K2" s="5" t="s">
        <v>70</v>
      </c>
      <c r="L2" s="5" t="s">
        <v>37</v>
      </c>
      <c r="M2" s="5" t="s">
        <v>231</v>
      </c>
      <c r="N2" s="10" t="s">
        <v>57</v>
      </c>
      <c r="O2" s="38" t="s">
        <v>76</v>
      </c>
      <c r="P2" s="25"/>
    </row>
    <row r="3" spans="1:19">
      <c r="A3" s="6"/>
      <c r="B3" s="5" t="s">
        <v>6</v>
      </c>
      <c r="C3" s="5" t="s">
        <v>40</v>
      </c>
      <c r="D3" s="5" t="s">
        <v>59</v>
      </c>
      <c r="E3" s="5" t="s">
        <v>3</v>
      </c>
      <c r="F3" s="36" t="s">
        <v>36</v>
      </c>
      <c r="G3" s="5" t="s">
        <v>4</v>
      </c>
      <c r="H3" s="5" t="s">
        <v>30</v>
      </c>
      <c r="I3" s="2" t="s">
        <v>31</v>
      </c>
      <c r="J3" s="17" t="s">
        <v>69</v>
      </c>
      <c r="K3" s="5" t="s">
        <v>2</v>
      </c>
      <c r="L3" s="5" t="s">
        <v>38</v>
      </c>
      <c r="M3" s="5" t="s">
        <v>232</v>
      </c>
      <c r="N3" s="5" t="s">
        <v>56</v>
      </c>
      <c r="O3" s="5" t="s">
        <v>77</v>
      </c>
      <c r="S3" s="5"/>
    </row>
    <row r="4" spans="1:19" ht="14.4">
      <c r="A4" s="410" t="s">
        <v>162</v>
      </c>
      <c r="B4" s="59">
        <f>Paper!C68</f>
        <v>72.722222222222229</v>
      </c>
      <c r="C4" s="206">
        <f>Static!B5</f>
        <v>50</v>
      </c>
      <c r="D4" s="223">
        <f>MSRP!L7</f>
        <v>50</v>
      </c>
      <c r="E4" s="59">
        <v>0</v>
      </c>
      <c r="F4" s="79">
        <v>0</v>
      </c>
      <c r="G4" s="59">
        <f>Oral!AL4</f>
        <v>59.203703703703702</v>
      </c>
      <c r="H4" s="59">
        <f>Noise!G5</f>
        <v>0</v>
      </c>
      <c r="I4" s="409">
        <f>Acceleration!E5</f>
        <v>50</v>
      </c>
      <c r="J4" s="407">
        <f>'Lab Emissions'!K5+'Lab Emissions'!O5</f>
        <v>0</v>
      </c>
      <c r="K4" s="206">
        <v>0</v>
      </c>
      <c r="L4" s="407">
        <f>'Cold Start'!C4:C5</f>
        <v>0</v>
      </c>
      <c r="M4" s="206">
        <f>'Draw Bar Pull'!F6</f>
        <v>0</v>
      </c>
      <c r="N4" s="407">
        <f>'Penalties and Bonuses'!J4</f>
        <v>0</v>
      </c>
      <c r="O4" s="210">
        <f>'Vehicle Weights'!G4</f>
        <v>0</v>
      </c>
      <c r="S4" s="59"/>
    </row>
    <row r="5" spans="1:19" ht="14.4">
      <c r="A5" s="410" t="s">
        <v>161</v>
      </c>
      <c r="B5" s="59">
        <f>Paper!D68</f>
        <v>71.75</v>
      </c>
      <c r="C5" s="206">
        <f>Static!B6</f>
        <v>50</v>
      </c>
      <c r="D5" s="223">
        <f>MSRP!L8</f>
        <v>14</v>
      </c>
      <c r="E5" s="59">
        <v>0</v>
      </c>
      <c r="F5" s="79">
        <v>0</v>
      </c>
      <c r="G5" s="59">
        <f>Oral!AL5</f>
        <v>61.178571428571431</v>
      </c>
      <c r="H5" s="59">
        <f>Noise!G6</f>
        <v>300</v>
      </c>
      <c r="I5" s="409">
        <f>Acceleration!E6</f>
        <v>50</v>
      </c>
      <c r="J5" s="407">
        <f>'Lab Emissions'!K6+'Lab Emissions'!O6</f>
        <v>309.45999999999998</v>
      </c>
      <c r="K5" s="206">
        <v>50</v>
      </c>
      <c r="L5" s="407">
        <f>'Cold Start'!C5:C6</f>
        <v>0</v>
      </c>
      <c r="M5" s="206">
        <f>'Draw Bar Pull'!F7</f>
        <v>100</v>
      </c>
      <c r="N5" s="407">
        <f>'Penalties and Bonuses'!J5</f>
        <v>0</v>
      </c>
      <c r="O5" s="210">
        <f>'Vehicle Weights'!G5</f>
        <v>0</v>
      </c>
      <c r="S5" s="59"/>
    </row>
    <row r="6" spans="1:19">
      <c r="B6" s="2" t="s">
        <v>39</v>
      </c>
      <c r="C6" s="2" t="s">
        <v>39</v>
      </c>
      <c r="D6" s="2" t="s">
        <v>39</v>
      </c>
      <c r="E6" s="2" t="s">
        <v>39</v>
      </c>
      <c r="F6" s="2" t="s">
        <v>39</v>
      </c>
      <c r="G6" s="2" t="s">
        <v>39</v>
      </c>
      <c r="H6" s="2" t="s">
        <v>39</v>
      </c>
      <c r="I6" s="2" t="s">
        <v>39</v>
      </c>
      <c r="J6" s="2" t="s">
        <v>39</v>
      </c>
      <c r="K6" s="2" t="s">
        <v>39</v>
      </c>
      <c r="L6" s="2" t="s">
        <v>39</v>
      </c>
      <c r="M6" s="2" t="s">
        <v>39</v>
      </c>
      <c r="N6" s="13"/>
      <c r="O6" s="2" t="s">
        <v>39</v>
      </c>
    </row>
    <row r="7" spans="1:19">
      <c r="A7" s="10"/>
      <c r="B7" s="20"/>
      <c r="C7" s="17"/>
      <c r="D7" s="17"/>
      <c r="E7" s="34"/>
      <c r="F7" s="17"/>
      <c r="G7" s="33"/>
      <c r="H7" s="33"/>
      <c r="I7" s="65"/>
      <c r="L7" s="53"/>
      <c r="M7" s="35"/>
      <c r="N7" s="9"/>
      <c r="O7" s="6"/>
    </row>
    <row r="8" spans="1:19">
      <c r="A8" s="6"/>
      <c r="B8" s="20"/>
      <c r="C8" s="20"/>
      <c r="D8" s="5"/>
      <c r="E8" s="20"/>
      <c r="F8" s="5"/>
      <c r="G8" s="20" t="s">
        <v>19</v>
      </c>
      <c r="H8" s="20" t="s">
        <v>21</v>
      </c>
      <c r="L8" s="53"/>
      <c r="M8" s="35"/>
      <c r="N8" s="9"/>
      <c r="O8" s="6"/>
    </row>
    <row r="9" spans="1:19">
      <c r="A9" s="6"/>
      <c r="B9" s="20"/>
      <c r="C9" s="20"/>
      <c r="D9" s="5"/>
      <c r="E9" s="20"/>
      <c r="F9" s="5"/>
      <c r="G9" s="20" t="s">
        <v>9</v>
      </c>
      <c r="H9" s="20" t="s">
        <v>20</v>
      </c>
      <c r="L9" s="53"/>
      <c r="M9" s="35"/>
      <c r="N9" s="9"/>
      <c r="O9" s="6"/>
    </row>
    <row r="10" spans="1:19" ht="14.4">
      <c r="A10" s="410" t="s">
        <v>162</v>
      </c>
      <c r="B10" s="79"/>
      <c r="C10" s="79"/>
      <c r="D10" s="316"/>
      <c r="E10" s="135"/>
      <c r="F10" s="316"/>
      <c r="G10" s="17">
        <f>SUM(B4:O4)</f>
        <v>281.92592592592592</v>
      </c>
      <c r="H10" s="5">
        <f>RANK(G10,$G$10:$G$11)</f>
        <v>2</v>
      </c>
      <c r="I10" s="136"/>
      <c r="L10" s="53"/>
      <c r="M10" s="35"/>
      <c r="N10" s="19"/>
      <c r="O10" s="6"/>
    </row>
    <row r="11" spans="1:19" ht="14.4">
      <c r="A11" s="410" t="s">
        <v>161</v>
      </c>
      <c r="B11" s="79"/>
      <c r="C11" s="79"/>
      <c r="D11" s="316"/>
      <c r="E11" s="135"/>
      <c r="F11" s="316"/>
      <c r="G11" s="17">
        <f>SUM(B5:O5)</f>
        <v>1006.3885714285714</v>
      </c>
      <c r="H11" s="5">
        <f>RANK(G11,$G$10:$G$11)</f>
        <v>1</v>
      </c>
      <c r="L11" s="53"/>
      <c r="M11" s="35"/>
      <c r="N11" s="19"/>
      <c r="O11" s="6"/>
    </row>
    <row r="12" spans="1:19" s="65" customFormat="1">
      <c r="A12" s="121"/>
      <c r="B12" s="157"/>
      <c r="C12" s="157"/>
      <c r="D12" s="158"/>
      <c r="E12" s="158"/>
      <c r="F12" s="158"/>
      <c r="G12" s="155"/>
      <c r="H12" s="159"/>
      <c r="I12" s="66"/>
      <c r="J12" s="37"/>
      <c r="K12" s="126"/>
      <c r="L12" s="66"/>
      <c r="M12" s="66"/>
      <c r="N12" s="66"/>
      <c r="O12" s="38"/>
    </row>
    <row r="13" spans="1:19" s="65" customFormat="1">
      <c r="A13" s="121"/>
      <c r="B13" s="315"/>
      <c r="C13" s="315"/>
      <c r="D13" s="315"/>
      <c r="E13" s="315"/>
      <c r="F13" s="315"/>
      <c r="G13" s="155"/>
      <c r="H13" s="159"/>
      <c r="I13" s="66"/>
      <c r="J13" s="37"/>
      <c r="K13" s="126"/>
      <c r="L13" s="66"/>
      <c r="M13" s="66"/>
      <c r="N13" s="66"/>
      <c r="O13" s="38"/>
    </row>
    <row r="14" spans="1:19" s="65" customFormat="1">
      <c r="C14" s="137"/>
      <c r="F14" s="79"/>
      <c r="G14" s="37"/>
      <c r="H14" s="66"/>
      <c r="I14" s="66"/>
      <c r="J14" s="37"/>
      <c r="K14" s="126"/>
      <c r="L14" s="66"/>
      <c r="M14" s="66"/>
      <c r="N14" s="66"/>
      <c r="O14" s="38"/>
    </row>
    <row r="15" spans="1:19" s="65" customFormat="1" ht="13.8">
      <c r="A15" s="411"/>
      <c r="B15" s="440" t="s">
        <v>39</v>
      </c>
      <c r="C15" s="440"/>
      <c r="D15" s="440"/>
      <c r="E15" s="440"/>
      <c r="F15" s="79"/>
      <c r="G15" s="37"/>
      <c r="H15" s="66"/>
      <c r="I15" s="38"/>
      <c r="J15" s="170"/>
      <c r="K15" s="126"/>
      <c r="L15" s="38"/>
      <c r="M15" s="38"/>
      <c r="N15" s="38"/>
      <c r="O15" s="38"/>
    </row>
    <row r="16" spans="1:19" s="65" customFormat="1" ht="20.25" customHeight="1">
      <c r="A16" s="412"/>
      <c r="B16" s="443"/>
      <c r="C16" s="443"/>
      <c r="D16" s="443"/>
      <c r="E16" s="443"/>
      <c r="F16" s="79"/>
      <c r="G16" s="37"/>
      <c r="H16" s="66"/>
      <c r="I16" s="38"/>
      <c r="J16" s="170"/>
      <c r="K16" s="126"/>
      <c r="L16" s="38"/>
      <c r="M16" s="38"/>
      <c r="N16" s="38"/>
      <c r="O16" s="38"/>
    </row>
    <row r="17" spans="1:15" s="65" customFormat="1" ht="19.5" customHeight="1">
      <c r="A17" s="412"/>
      <c r="B17" s="440"/>
      <c r="C17" s="440"/>
      <c r="D17" s="440"/>
      <c r="E17" s="440"/>
      <c r="F17" s="79"/>
      <c r="G17" s="37"/>
      <c r="H17" s="66"/>
      <c r="I17" s="38"/>
      <c r="J17" s="170"/>
      <c r="K17" s="126"/>
      <c r="L17" s="38"/>
      <c r="M17" s="38"/>
      <c r="N17" s="38"/>
      <c r="O17" s="38"/>
    </row>
    <row r="18" spans="1:15" s="65" customFormat="1" ht="14.4" customHeight="1">
      <c r="A18" s="412"/>
      <c r="B18" s="441"/>
      <c r="C18" s="441"/>
      <c r="D18" s="441"/>
      <c r="E18" s="441"/>
      <c r="F18" s="79"/>
      <c r="G18" s="38"/>
      <c r="H18" s="38"/>
      <c r="I18" s="38"/>
      <c r="J18" s="170"/>
      <c r="K18" s="126"/>
      <c r="L18" s="38"/>
      <c r="M18" s="38"/>
      <c r="N18" s="38"/>
      <c r="O18" s="38"/>
    </row>
    <row r="19" spans="1:15" s="65" customFormat="1" ht="14.4" customHeight="1">
      <c r="A19" s="412"/>
      <c r="B19" s="441"/>
      <c r="C19" s="441"/>
      <c r="D19" s="441"/>
      <c r="E19" s="441"/>
      <c r="F19" s="209"/>
      <c r="G19" s="38"/>
      <c r="H19" s="38"/>
      <c r="I19" s="38"/>
      <c r="J19" s="170"/>
      <c r="K19" s="126"/>
      <c r="L19" s="38"/>
      <c r="M19" s="38"/>
      <c r="N19" s="38"/>
      <c r="O19" s="38"/>
    </row>
    <row r="20" spans="1:15" s="65" customFormat="1" ht="14.4" customHeight="1">
      <c r="A20" s="412"/>
      <c r="B20" s="440"/>
      <c r="C20" s="440"/>
      <c r="D20" s="440"/>
      <c r="E20" s="440"/>
      <c r="F20" s="79"/>
      <c r="G20" s="38"/>
      <c r="H20" s="38"/>
      <c r="I20" s="38"/>
      <c r="J20" s="170"/>
      <c r="K20" s="126"/>
      <c r="L20" s="38"/>
      <c r="M20" s="38"/>
      <c r="N20" s="38"/>
      <c r="O20" s="38"/>
    </row>
    <row r="21" spans="1:15" ht="14.4" customHeight="1">
      <c r="A21" s="413"/>
      <c r="B21" s="441"/>
      <c r="C21" s="441"/>
      <c r="D21" s="441"/>
      <c r="E21" s="441"/>
      <c r="F21" s="79"/>
    </row>
    <row r="22" spans="1:15" s="65" customFormat="1" ht="14.4" customHeight="1">
      <c r="A22" s="412"/>
      <c r="B22" s="441"/>
      <c r="C22" s="441"/>
      <c r="D22" s="441"/>
      <c r="E22" s="441"/>
      <c r="F22" s="79"/>
      <c r="G22" s="38"/>
      <c r="H22" s="38"/>
      <c r="I22" s="38"/>
      <c r="J22" s="170"/>
      <c r="K22" s="126"/>
      <c r="L22" s="38"/>
      <c r="M22" s="38"/>
      <c r="N22" s="38"/>
      <c r="O22" s="38"/>
    </row>
    <row r="23" spans="1:15" s="65" customFormat="1" ht="14.4" customHeight="1">
      <c r="A23" s="412"/>
      <c r="B23" s="441"/>
      <c r="C23" s="441"/>
      <c r="D23" s="441"/>
      <c r="E23" s="441"/>
      <c r="F23" s="79"/>
      <c r="G23" s="38"/>
      <c r="H23" s="38"/>
      <c r="I23" s="38"/>
      <c r="J23" s="170"/>
      <c r="K23" s="126"/>
      <c r="L23" s="38"/>
      <c r="M23" s="38"/>
      <c r="N23" s="38"/>
      <c r="O23" s="38"/>
    </row>
    <row r="24" spans="1:15" s="65" customFormat="1" ht="14.4" customHeight="1">
      <c r="A24" s="412"/>
      <c r="B24" s="441"/>
      <c r="C24" s="441"/>
      <c r="D24" s="441"/>
      <c r="E24" s="441"/>
      <c r="F24" s="79"/>
      <c r="G24" s="38"/>
      <c r="H24" s="38"/>
      <c r="I24" s="38"/>
      <c r="J24" s="170"/>
      <c r="K24" s="126"/>
      <c r="L24" s="38"/>
      <c r="M24" s="38"/>
      <c r="N24" s="38"/>
      <c r="O24" s="38"/>
    </row>
    <row r="25" spans="1:15" ht="14.4" customHeight="1">
      <c r="A25" s="414"/>
      <c r="B25" s="441"/>
      <c r="C25" s="441"/>
      <c r="D25" s="441"/>
      <c r="E25" s="441"/>
      <c r="F25" s="79"/>
      <c r="G25" s="38"/>
      <c r="H25" s="38"/>
      <c r="I25" s="6"/>
      <c r="J25" s="168"/>
      <c r="K25" s="18"/>
      <c r="L25" s="6"/>
      <c r="M25" s="6"/>
      <c r="N25" s="6"/>
      <c r="O25" s="6"/>
    </row>
    <row r="26" spans="1:15" ht="14.4" customHeight="1">
      <c r="A26" s="414"/>
      <c r="B26" s="441"/>
      <c r="C26" s="441"/>
      <c r="D26" s="441"/>
      <c r="E26" s="441"/>
      <c r="F26" s="79"/>
      <c r="G26" s="38"/>
      <c r="H26" s="38"/>
    </row>
    <row r="27" spans="1:15" ht="18" customHeight="1">
      <c r="A27" s="415"/>
      <c r="B27" s="440"/>
      <c r="C27" s="440"/>
      <c r="D27" s="440"/>
      <c r="E27" s="440"/>
      <c r="F27" s="79"/>
      <c r="G27" s="6"/>
      <c r="H27" s="6"/>
    </row>
    <row r="28" spans="1:15" ht="13.8">
      <c r="A28" s="415"/>
      <c r="B28" s="441"/>
      <c r="C28" s="441"/>
      <c r="D28" s="441"/>
      <c r="E28" s="441"/>
      <c r="F28" s="79"/>
    </row>
    <row r="29" spans="1:15" ht="13.8">
      <c r="A29" s="414"/>
      <c r="B29" s="442"/>
      <c r="C29" s="442"/>
      <c r="D29" s="442"/>
      <c r="E29" s="442"/>
      <c r="F29" s="79"/>
    </row>
    <row r="30" spans="1:15" ht="13.8">
      <c r="A30" s="416"/>
      <c r="B30" s="442"/>
      <c r="C30" s="442"/>
      <c r="D30" s="442"/>
      <c r="E30" s="442"/>
      <c r="F30" s="79"/>
    </row>
    <row r="31" spans="1:15" ht="13.8">
      <c r="A31" s="416"/>
      <c r="B31" s="442"/>
      <c r="C31" s="442"/>
      <c r="D31" s="442"/>
      <c r="E31" s="442"/>
      <c r="F31" s="79"/>
    </row>
    <row r="32" spans="1:15" ht="13.8">
      <c r="A32" s="414"/>
      <c r="B32" s="442"/>
      <c r="C32" s="442"/>
      <c r="D32" s="442"/>
      <c r="E32" s="442"/>
      <c r="F32" s="79"/>
    </row>
    <row r="33" spans="1:11" ht="13.8">
      <c r="A33" s="416"/>
      <c r="B33" s="442"/>
      <c r="C33" s="442"/>
      <c r="D33" s="442"/>
      <c r="E33" s="442"/>
      <c r="F33" s="79"/>
    </row>
    <row r="34" spans="1:11" ht="13.8">
      <c r="A34" s="416"/>
      <c r="B34" s="442"/>
      <c r="C34" s="442"/>
      <c r="D34" s="442"/>
      <c r="E34" s="442"/>
      <c r="F34" s="79"/>
    </row>
    <row r="35" spans="1:11" ht="14.4">
      <c r="A35" s="344"/>
      <c r="B35" s="349"/>
      <c r="C35" s="345"/>
      <c r="D35" s="345"/>
      <c r="E35" s="346"/>
      <c r="F35" s="79"/>
    </row>
    <row r="36" spans="1:11" ht="14.4">
      <c r="A36" s="263"/>
      <c r="B36" s="312"/>
      <c r="C36" s="145"/>
      <c r="D36" s="347"/>
      <c r="E36" s="348"/>
      <c r="F36" s="79"/>
    </row>
    <row r="37" spans="1:11" s="1" customFormat="1" ht="14.4">
      <c r="A37" s="277"/>
      <c r="B37" s="312"/>
      <c r="C37" s="17"/>
      <c r="D37" s="27"/>
      <c r="E37" s="78"/>
      <c r="F37" s="79"/>
      <c r="J37" s="172"/>
      <c r="K37" s="60"/>
    </row>
    <row r="38" spans="1:11" s="1" customFormat="1">
      <c r="A38" s="173"/>
      <c r="B38" s="313"/>
      <c r="C38" s="314"/>
      <c r="J38" s="172"/>
      <c r="K38" s="60"/>
    </row>
    <row r="39" spans="1:11" s="1" customFormat="1">
      <c r="A39" s="173"/>
      <c r="C39" s="60"/>
      <c r="J39" s="172"/>
      <c r="K39" s="60"/>
    </row>
    <row r="40" spans="1:11" s="1" customFormat="1">
      <c r="A40" s="173"/>
      <c r="C40" s="60"/>
      <c r="J40" s="172"/>
      <c r="K40" s="60"/>
    </row>
    <row r="41" spans="1:11" s="1" customFormat="1">
      <c r="A41" s="173"/>
      <c r="C41" s="60"/>
      <c r="J41" s="172"/>
      <c r="K41" s="60"/>
    </row>
    <row r="42" spans="1:11" s="1" customFormat="1">
      <c r="A42" s="173"/>
      <c r="C42" s="60"/>
      <c r="J42" s="172"/>
      <c r="K42" s="60"/>
    </row>
    <row r="43" spans="1:11" s="1" customFormat="1">
      <c r="A43" s="173"/>
      <c r="C43" s="60"/>
      <c r="J43" s="172"/>
      <c r="K43" s="60"/>
    </row>
    <row r="44" spans="1:11" s="1" customFormat="1">
      <c r="A44" s="173"/>
      <c r="C44" s="60"/>
      <c r="J44" s="172"/>
      <c r="K44" s="60"/>
    </row>
  </sheetData>
  <mergeCells count="20">
    <mergeCell ref="B17:E17"/>
    <mergeCell ref="B18:E18"/>
    <mergeCell ref="B16:E16"/>
    <mergeCell ref="B15:E15"/>
    <mergeCell ref="B19:E19"/>
    <mergeCell ref="B20:E20"/>
    <mergeCell ref="B21:E21"/>
    <mergeCell ref="B26:E26"/>
    <mergeCell ref="B22:E22"/>
    <mergeCell ref="B23:E23"/>
    <mergeCell ref="B25:E25"/>
    <mergeCell ref="B24:E24"/>
    <mergeCell ref="B27:E27"/>
    <mergeCell ref="B28:E28"/>
    <mergeCell ref="B29:E29"/>
    <mergeCell ref="B34:E34"/>
    <mergeCell ref="B30:E30"/>
    <mergeCell ref="B31:E31"/>
    <mergeCell ref="B33:E33"/>
    <mergeCell ref="B32:E32"/>
  </mergeCells>
  <phoneticPr fontId="23" type="noConversion"/>
  <printOptions gridLines="1"/>
  <pageMargins left="0.75" right="0.75" top="1" bottom="1" header="0.5" footer="0.5"/>
  <pageSetup scale="54"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86"/>
  <sheetViews>
    <sheetView zoomScale="97" zoomScaleNormal="97" zoomScalePageLayoutView="125" workbookViewId="0">
      <selection activeCell="A16" sqref="A16"/>
    </sheetView>
  </sheetViews>
  <sheetFormatPr defaultColWidth="8.88671875" defaultRowHeight="13.2"/>
  <cols>
    <col min="1" max="1" width="40.88671875" customWidth="1"/>
    <col min="2" max="3" width="12.44140625" style="259" customWidth="1"/>
    <col min="4" max="4" width="8.44140625" style="259" customWidth="1"/>
    <col min="5" max="5" width="12.44140625" style="259" customWidth="1"/>
    <col min="6" max="6" width="10.6640625" style="259" customWidth="1"/>
    <col min="7" max="8" width="12.44140625" style="259" customWidth="1"/>
    <col min="9" max="9" width="9.33203125" customWidth="1"/>
    <col min="10" max="10" width="9.33203125" style="305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1" customWidth="1"/>
    <col min="25" max="25" width="10" style="41" customWidth="1"/>
    <col min="26" max="27" width="8.6640625" style="41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8" thickBot="1">
      <c r="A1" s="112" t="s">
        <v>172</v>
      </c>
      <c r="B1" s="7"/>
      <c r="C1" s="203"/>
      <c r="D1" s="203"/>
      <c r="E1" s="203"/>
      <c r="F1" s="203"/>
      <c r="G1" s="203"/>
      <c r="H1" s="203"/>
      <c r="I1" s="21"/>
      <c r="J1" s="297" t="s">
        <v>80</v>
      </c>
      <c r="K1" s="179"/>
      <c r="L1" s="179"/>
      <c r="M1" s="21"/>
      <c r="N1" s="178" t="s">
        <v>81</v>
      </c>
      <c r="O1" s="179"/>
      <c r="P1" s="179"/>
      <c r="Q1" s="28"/>
      <c r="R1" s="113"/>
      <c r="S1" s="82"/>
      <c r="T1" s="83"/>
      <c r="U1" s="83"/>
      <c r="V1" s="83"/>
      <c r="W1" s="83"/>
      <c r="X1" s="83"/>
      <c r="Y1" s="83"/>
      <c r="Z1" s="83"/>
      <c r="AA1" s="83"/>
      <c r="AB1" s="84"/>
      <c r="AC1" s="85"/>
      <c r="AD1" s="86"/>
      <c r="AE1" s="60"/>
      <c r="AF1" s="1"/>
      <c r="AG1" s="1"/>
      <c r="AH1" s="1"/>
    </row>
    <row r="2" spans="1:37" ht="18" thickBot="1">
      <c r="A2" s="343"/>
      <c r="B2" s="7"/>
      <c r="C2" s="203"/>
      <c r="D2" s="203"/>
      <c r="E2" s="203"/>
      <c r="F2" s="203"/>
      <c r="G2" s="203"/>
      <c r="H2" s="215"/>
      <c r="I2" s="24"/>
      <c r="J2" s="298" t="s">
        <v>82</v>
      </c>
      <c r="K2" s="180"/>
      <c r="L2" s="181"/>
      <c r="M2" s="21"/>
      <c r="N2" s="182" t="s">
        <v>83</v>
      </c>
      <c r="O2" s="180"/>
      <c r="P2" s="181"/>
      <c r="Q2" s="52"/>
      <c r="R2" s="115"/>
      <c r="S2" s="89"/>
      <c r="T2" s="89"/>
      <c r="U2" s="83"/>
      <c r="V2" s="83"/>
      <c r="W2" s="83"/>
      <c r="X2" s="83"/>
      <c r="Y2" s="83"/>
      <c r="Z2" s="83"/>
      <c r="AA2" s="83"/>
      <c r="AB2" s="84"/>
      <c r="AC2" s="85"/>
      <c r="AD2" s="86"/>
      <c r="AE2" s="60"/>
      <c r="AF2" s="1"/>
      <c r="AG2" s="1"/>
      <c r="AH2" s="1"/>
    </row>
    <row r="3" spans="1:37" ht="15.6">
      <c r="A3" s="342"/>
      <c r="B3" s="63"/>
      <c r="C3" s="215"/>
      <c r="D3" s="215"/>
      <c r="E3" s="215"/>
      <c r="F3" s="215"/>
      <c r="G3" s="215"/>
      <c r="J3" s="299"/>
      <c r="K3" s="24"/>
      <c r="L3" s="183"/>
      <c r="M3" s="24"/>
      <c r="N3" s="184"/>
      <c r="O3" s="24"/>
      <c r="P3" s="183"/>
      <c r="Q3" s="23"/>
      <c r="R3" s="116"/>
      <c r="S3" s="91"/>
      <c r="T3" s="89"/>
      <c r="U3" s="83"/>
      <c r="V3" s="83"/>
      <c r="W3" s="83"/>
      <c r="X3" s="83"/>
      <c r="Y3" s="83"/>
      <c r="Z3" s="83"/>
      <c r="AA3" s="83"/>
      <c r="AB3" s="84"/>
      <c r="AC3" s="85"/>
      <c r="AD3" s="86"/>
      <c r="AE3" s="60"/>
      <c r="AF3" s="1"/>
      <c r="AG3" s="1"/>
      <c r="AH3" s="1"/>
    </row>
    <row r="4" spans="1:37" ht="52.8">
      <c r="A4" s="185" t="s">
        <v>84</v>
      </c>
      <c r="B4" s="187" t="s">
        <v>85</v>
      </c>
      <c r="C4" s="186" t="s">
        <v>86</v>
      </c>
      <c r="D4" s="186" t="s">
        <v>87</v>
      </c>
      <c r="E4" s="186" t="s">
        <v>88</v>
      </c>
      <c r="F4" s="186" t="s">
        <v>89</v>
      </c>
      <c r="G4" s="187" t="s">
        <v>111</v>
      </c>
      <c r="H4" s="186" t="s">
        <v>90</v>
      </c>
      <c r="I4" s="188"/>
      <c r="J4" s="300" t="s">
        <v>91</v>
      </c>
      <c r="K4" s="187" t="s">
        <v>92</v>
      </c>
      <c r="L4" s="190" t="s">
        <v>93</v>
      </c>
      <c r="M4" s="191"/>
      <c r="N4" s="189" t="s">
        <v>94</v>
      </c>
      <c r="O4" s="187" t="s">
        <v>102</v>
      </c>
      <c r="P4" s="190" t="s">
        <v>73</v>
      </c>
      <c r="Q4" s="23"/>
      <c r="R4" s="116"/>
      <c r="S4" s="91"/>
      <c r="T4" s="89"/>
      <c r="U4" s="83"/>
      <c r="V4" s="83"/>
      <c r="W4" s="83"/>
      <c r="X4" s="83"/>
      <c r="Y4" s="83"/>
      <c r="Z4" s="83"/>
      <c r="AA4" s="83"/>
      <c r="AB4" s="84"/>
      <c r="AC4" s="85"/>
      <c r="AD4" s="86"/>
      <c r="AE4" s="60"/>
      <c r="AF4" s="1"/>
      <c r="AG4" s="1"/>
      <c r="AH4" s="1"/>
    </row>
    <row r="5" spans="1:37" ht="14.4">
      <c r="A5" s="410" t="s">
        <v>162</v>
      </c>
      <c r="B5" s="382"/>
      <c r="C5" s="382"/>
      <c r="D5" s="382"/>
      <c r="E5" s="382"/>
      <c r="F5" s="382"/>
      <c r="G5" s="382"/>
      <c r="H5" s="382"/>
      <c r="I5" s="339"/>
      <c r="J5" s="340"/>
      <c r="K5" s="383"/>
      <c r="L5" s="391">
        <v>2</v>
      </c>
      <c r="M5" s="192"/>
      <c r="N5" s="340"/>
      <c r="O5" s="390"/>
      <c r="P5" s="382">
        <v>2</v>
      </c>
      <c r="Q5" s="28"/>
      <c r="R5" s="224">
        <f>K5+O5</f>
        <v>0</v>
      </c>
      <c r="S5" s="82"/>
      <c r="T5" s="82"/>
      <c r="U5" s="82"/>
      <c r="V5" s="82"/>
      <c r="W5" s="82"/>
      <c r="X5" s="82"/>
      <c r="Y5" s="82"/>
      <c r="Z5" s="82"/>
      <c r="AA5" s="82"/>
      <c r="AB5" s="81"/>
      <c r="AC5" s="92"/>
      <c r="AD5" s="93"/>
    </row>
    <row r="6" spans="1:37" ht="14.4">
      <c r="A6" s="410" t="s">
        <v>161</v>
      </c>
      <c r="B6" s="434" t="s">
        <v>242</v>
      </c>
      <c r="C6" s="434" t="s">
        <v>242</v>
      </c>
      <c r="D6" s="434" t="s">
        <v>242</v>
      </c>
      <c r="E6" s="434" t="s">
        <v>242</v>
      </c>
      <c r="F6" s="434" t="s">
        <v>242</v>
      </c>
      <c r="G6" s="434" t="s">
        <v>242</v>
      </c>
      <c r="H6" s="434" t="s">
        <v>242</v>
      </c>
      <c r="I6" s="438"/>
      <c r="J6" s="435">
        <v>198.65</v>
      </c>
      <c r="K6" s="435">
        <v>259.45999999999998</v>
      </c>
      <c r="L6" s="391">
        <f>RANK(K6,$K$5:$K$6)</f>
        <v>1</v>
      </c>
      <c r="M6" s="192"/>
      <c r="N6" s="436">
        <v>387.2</v>
      </c>
      <c r="O6" s="437">
        <v>50</v>
      </c>
      <c r="P6" s="382">
        <f>RANK(O6,$O$5:$O$6)</f>
        <v>1</v>
      </c>
      <c r="Q6" s="28"/>
      <c r="R6" s="224">
        <f t="shared" ref="R6" si="0">K6+O6</f>
        <v>309.45999999999998</v>
      </c>
      <c r="S6" s="82"/>
      <c r="T6" s="82"/>
      <c r="U6" s="82"/>
      <c r="V6" s="82"/>
      <c r="W6" s="82"/>
      <c r="X6" s="82"/>
      <c r="Y6" s="82"/>
      <c r="Z6" s="82"/>
      <c r="AA6" s="82"/>
      <c r="AB6" s="81"/>
      <c r="AC6" s="92"/>
      <c r="AD6" s="93"/>
      <c r="AJ6" s="31"/>
      <c r="AK6" s="31"/>
    </row>
    <row r="7" spans="1:37">
      <c r="A7" s="87"/>
      <c r="B7" s="215"/>
      <c r="C7" s="125"/>
      <c r="D7" s="205"/>
      <c r="E7" s="205"/>
      <c r="F7" s="205"/>
      <c r="G7" s="205"/>
      <c r="H7" s="393" t="s">
        <v>62</v>
      </c>
      <c r="I7" s="394"/>
      <c r="J7" s="395">
        <f>+J6</f>
        <v>198.65</v>
      </c>
      <c r="K7" s="396">
        <v>100</v>
      </c>
      <c r="L7" s="392"/>
      <c r="M7" s="397"/>
      <c r="N7" s="395"/>
      <c r="O7" s="398"/>
      <c r="P7" s="96"/>
      <c r="Q7" s="84"/>
      <c r="R7" s="97"/>
      <c r="S7" s="97"/>
      <c r="T7" s="97"/>
      <c r="U7" s="97"/>
      <c r="V7" s="97"/>
      <c r="W7" s="97"/>
      <c r="X7" s="97"/>
      <c r="Y7" s="97"/>
      <c r="Z7" s="97"/>
      <c r="AA7" s="97"/>
      <c r="AB7" s="106"/>
      <c r="AC7" s="104"/>
      <c r="AD7" s="107"/>
      <c r="AE7" s="48"/>
      <c r="AF7" s="32"/>
      <c r="AG7" s="32"/>
      <c r="AH7" s="32"/>
      <c r="AI7" s="32"/>
      <c r="AJ7" s="31"/>
      <c r="AK7" s="31"/>
    </row>
    <row r="8" spans="1:37">
      <c r="A8" s="87"/>
      <c r="B8" s="215"/>
      <c r="C8" s="205"/>
      <c r="D8" s="205"/>
      <c r="E8" s="205"/>
      <c r="F8" s="205"/>
      <c r="G8" s="205"/>
      <c r="H8" s="393" t="s">
        <v>61</v>
      </c>
      <c r="I8" s="394"/>
      <c r="J8" s="395"/>
      <c r="K8" s="396">
        <v>300</v>
      </c>
      <c r="L8" s="398"/>
      <c r="M8" s="398"/>
      <c r="N8" s="395"/>
      <c r="O8" s="398"/>
      <c r="P8" s="96"/>
      <c r="Q8" s="94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99"/>
      <c r="AC8" s="105"/>
      <c r="AD8" s="109"/>
      <c r="AE8" s="48"/>
      <c r="AF8" s="32"/>
      <c r="AG8" s="32"/>
      <c r="AH8" s="32"/>
      <c r="AI8" s="32"/>
      <c r="AJ8" s="31"/>
      <c r="AK8" s="31"/>
    </row>
    <row r="9" spans="1:37" ht="14.4">
      <c r="A9" s="87"/>
      <c r="B9" s="215"/>
      <c r="C9" s="205"/>
      <c r="D9" s="152" t="s">
        <v>39</v>
      </c>
      <c r="E9" s="151" t="s">
        <v>39</v>
      </c>
      <c r="F9" s="205"/>
      <c r="G9" s="205"/>
      <c r="H9" s="205"/>
      <c r="I9" s="96"/>
      <c r="J9" s="389"/>
      <c r="K9" s="388"/>
      <c r="L9" s="96"/>
      <c r="M9" s="96"/>
      <c r="N9" s="389"/>
      <c r="O9" s="378"/>
      <c r="P9" s="96"/>
      <c r="Q9" s="94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99"/>
      <c r="AC9" s="105"/>
      <c r="AD9" s="109"/>
      <c r="AE9" s="48"/>
      <c r="AF9" s="32"/>
      <c r="AG9" s="32"/>
      <c r="AH9" s="32"/>
      <c r="AI9" s="32"/>
      <c r="AJ9" s="31"/>
      <c r="AK9" s="31"/>
    </row>
    <row r="10" spans="1:37" ht="14.4">
      <c r="B10" s="215"/>
      <c r="C10" s="213"/>
      <c r="D10" s="150"/>
      <c r="E10" s="150"/>
      <c r="F10" s="213"/>
      <c r="G10" s="292" t="s">
        <v>39</v>
      </c>
      <c r="H10" s="213"/>
      <c r="I10" s="88"/>
      <c r="J10" s="389"/>
      <c r="K10" s="388"/>
      <c r="L10" s="88"/>
      <c r="M10" s="88"/>
      <c r="N10" s="389"/>
      <c r="O10" s="378"/>
      <c r="P10" s="88"/>
      <c r="Q10" s="94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99"/>
      <c r="AC10" s="110"/>
      <c r="AD10" s="109"/>
    </row>
    <row r="11" spans="1:37">
      <c r="B11" s="259" t="s">
        <v>95</v>
      </c>
      <c r="H11" s="337"/>
      <c r="I11" s="381"/>
      <c r="J11" s="337" t="s">
        <v>120</v>
      </c>
      <c r="K11" s="337"/>
      <c r="L11" s="96"/>
      <c r="M11" s="96"/>
      <c r="N11" s="389"/>
      <c r="O11" s="378"/>
      <c r="P11" s="96"/>
      <c r="Q11" s="94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99"/>
      <c r="AC11" s="110"/>
      <c r="AD11" s="109"/>
    </row>
    <row r="12" spans="1:37">
      <c r="B12" s="259" t="s">
        <v>96</v>
      </c>
      <c r="G12" s="337"/>
      <c r="H12" s="337"/>
      <c r="I12" s="381"/>
      <c r="J12" s="337" t="s">
        <v>121</v>
      </c>
      <c r="K12" s="210"/>
      <c r="L12" s="96"/>
      <c r="M12" s="96"/>
      <c r="N12" s="96"/>
      <c r="O12" s="96"/>
      <c r="P12" s="96"/>
      <c r="Q12" s="94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99"/>
      <c r="AC12" s="110"/>
      <c r="AD12" s="109"/>
    </row>
    <row r="13" spans="1:37">
      <c r="B13" s="259" t="s">
        <v>97</v>
      </c>
      <c r="I13" s="259"/>
      <c r="J13" s="381"/>
      <c r="K13" s="399"/>
      <c r="L13" s="88"/>
      <c r="M13" s="88"/>
      <c r="N13" s="96"/>
      <c r="O13" s="88"/>
      <c r="P13" s="88"/>
      <c r="Q13" s="94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99"/>
      <c r="AC13" s="110"/>
      <c r="AD13" s="109"/>
    </row>
    <row r="14" spans="1:37">
      <c r="A14" s="87"/>
      <c r="B14" s="205"/>
      <c r="C14" s="205" t="s">
        <v>68</v>
      </c>
      <c r="D14" s="205"/>
      <c r="E14" s="205"/>
      <c r="F14" s="205"/>
      <c r="G14" s="205"/>
      <c r="H14" s="205"/>
      <c r="I14" s="96"/>
      <c r="J14" s="96"/>
      <c r="K14" s="96"/>
      <c r="L14" s="96"/>
      <c r="M14" s="96"/>
      <c r="N14" s="96"/>
      <c r="O14" s="96"/>
      <c r="P14" s="98"/>
      <c r="Q14" s="94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99"/>
      <c r="AC14" s="110"/>
      <c r="AD14" s="109"/>
    </row>
    <row r="15" spans="1:37">
      <c r="A15" s="87"/>
      <c r="B15" s="213"/>
      <c r="C15" s="213"/>
      <c r="D15" s="213"/>
      <c r="E15" s="213"/>
      <c r="F15" s="213"/>
      <c r="G15" s="213"/>
      <c r="H15" s="213"/>
      <c r="I15" s="88"/>
      <c r="J15" s="96"/>
      <c r="K15" s="88"/>
      <c r="L15" s="88"/>
      <c r="M15" s="88"/>
      <c r="N15" s="88"/>
      <c r="O15" s="88"/>
      <c r="P15" s="98"/>
      <c r="Q15" s="94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99"/>
      <c r="AC15" s="110"/>
      <c r="AD15" s="109"/>
    </row>
    <row r="16" spans="1:37">
      <c r="A16" s="87"/>
      <c r="B16" s="213"/>
      <c r="C16" s="213"/>
      <c r="D16" s="213"/>
      <c r="E16" s="213"/>
      <c r="F16" s="213"/>
      <c r="G16" s="213"/>
      <c r="H16" s="213"/>
      <c r="I16" s="88"/>
      <c r="J16" s="96"/>
      <c r="K16" s="88"/>
      <c r="L16" s="88"/>
      <c r="M16" s="88"/>
      <c r="N16" s="88"/>
      <c r="O16" s="88"/>
      <c r="P16" s="98"/>
      <c r="Q16" s="94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9"/>
      <c r="AC16" s="110"/>
      <c r="AD16" s="109"/>
    </row>
    <row r="17" spans="1:30" ht="15">
      <c r="A17" s="323"/>
      <c r="B17" s="258"/>
      <c r="C17" s="258"/>
      <c r="D17" s="258"/>
      <c r="E17" s="324" t="s">
        <v>149</v>
      </c>
      <c r="F17" s="258"/>
      <c r="G17" s="258"/>
      <c r="H17" s="258"/>
      <c r="I17" s="96"/>
      <c r="J17" s="96"/>
      <c r="K17" s="96"/>
      <c r="L17" s="96"/>
      <c r="M17" s="96"/>
      <c r="N17" s="96"/>
      <c r="O17" s="96"/>
      <c r="P17" s="98"/>
      <c r="Q17" s="94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99"/>
      <c r="AC17" s="110"/>
      <c r="AD17" s="109"/>
    </row>
    <row r="18" spans="1:30">
      <c r="A18" s="87"/>
      <c r="B18" s="205"/>
      <c r="C18" s="205"/>
      <c r="D18" s="205"/>
      <c r="E18" s="205"/>
      <c r="F18" s="205"/>
      <c r="G18" s="205"/>
      <c r="H18" s="205"/>
      <c r="I18" s="96"/>
      <c r="J18" s="96"/>
      <c r="K18" s="96"/>
      <c r="L18" s="96"/>
      <c r="M18" s="96"/>
      <c r="N18" s="96"/>
      <c r="O18" s="96"/>
      <c r="P18" s="98"/>
      <c r="Q18" s="94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99"/>
      <c r="AC18" s="110"/>
      <c r="AD18" s="109"/>
    </row>
    <row r="19" spans="1:30">
      <c r="A19" s="87"/>
      <c r="B19" s="213"/>
      <c r="C19" s="213"/>
      <c r="D19" s="213"/>
      <c r="E19" s="213"/>
      <c r="F19" s="213"/>
      <c r="G19" s="213"/>
      <c r="H19" s="213"/>
      <c r="I19" s="88"/>
      <c r="J19" s="96"/>
      <c r="K19" s="88"/>
      <c r="L19" s="88"/>
      <c r="M19" s="88"/>
      <c r="N19" s="88"/>
      <c r="O19" s="88"/>
      <c r="P19" s="98"/>
      <c r="Q19" s="94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9"/>
      <c r="AC19" s="110"/>
      <c r="AD19" s="109"/>
    </row>
    <row r="20" spans="1:30">
      <c r="A20" s="87"/>
      <c r="B20" s="293"/>
      <c r="C20" s="205"/>
      <c r="D20" s="205"/>
      <c r="E20" s="205"/>
      <c r="F20" s="205"/>
      <c r="G20" s="205"/>
      <c r="H20" s="205"/>
      <c r="I20" s="96"/>
      <c r="J20" s="96"/>
      <c r="K20" s="96"/>
      <c r="L20" s="96"/>
      <c r="M20" s="96"/>
      <c r="N20" s="96"/>
      <c r="O20" s="96"/>
      <c r="P20" s="98"/>
      <c r="Q20" s="94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99"/>
      <c r="AC20" s="110"/>
      <c r="AD20" s="109"/>
    </row>
    <row r="21" spans="1:30">
      <c r="A21" s="87"/>
      <c r="B21" s="205"/>
      <c r="C21" s="205"/>
      <c r="D21" s="205"/>
      <c r="E21" s="205"/>
      <c r="F21" s="294"/>
      <c r="G21" s="205"/>
      <c r="H21" s="205"/>
      <c r="I21" s="96"/>
      <c r="J21" s="96"/>
      <c r="K21" s="96"/>
      <c r="L21" s="96"/>
      <c r="M21" s="96"/>
      <c r="N21" s="96"/>
      <c r="O21" s="96"/>
      <c r="P21" s="99"/>
      <c r="Q21" s="94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99"/>
      <c r="AC21" s="110"/>
      <c r="AD21" s="86"/>
    </row>
    <row r="22" spans="1:30">
      <c r="A22" s="87"/>
      <c r="B22" s="213"/>
      <c r="C22" s="213"/>
      <c r="D22" s="146"/>
      <c r="E22" s="147"/>
      <c r="F22" s="147"/>
      <c r="G22" s="73"/>
      <c r="H22" s="73"/>
      <c r="I22" s="88"/>
      <c r="J22" s="96"/>
      <c r="K22" s="88"/>
      <c r="L22" s="88"/>
      <c r="M22" s="88"/>
      <c r="N22" s="88"/>
      <c r="O22" s="88"/>
      <c r="P22" s="98"/>
      <c r="Q22" s="94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9"/>
      <c r="AC22" s="110"/>
      <c r="AD22" s="109"/>
    </row>
    <row r="23" spans="1:30">
      <c r="A23" s="87"/>
      <c r="B23" s="205"/>
      <c r="C23" s="205"/>
      <c r="D23" s="73"/>
      <c r="E23" s="73"/>
      <c r="F23" s="144"/>
      <c r="G23" s="73"/>
      <c r="H23" s="145"/>
      <c r="I23" s="142"/>
      <c r="J23" s="142"/>
      <c r="K23" s="142"/>
      <c r="L23" s="96"/>
      <c r="M23" s="96"/>
      <c r="N23" s="96"/>
      <c r="O23" s="96"/>
      <c r="P23" s="98"/>
      <c r="Q23" s="94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99"/>
      <c r="AC23" s="110"/>
      <c r="AD23" s="109"/>
    </row>
    <row r="24" spans="1:30">
      <c r="A24" s="81"/>
      <c r="B24" s="205"/>
      <c r="C24" s="213"/>
      <c r="D24" s="73"/>
      <c r="E24" s="73"/>
      <c r="F24" s="147"/>
      <c r="G24" s="73"/>
      <c r="H24" s="73"/>
      <c r="I24" s="88"/>
      <c r="J24" s="96"/>
      <c r="K24" s="88"/>
      <c r="L24" s="88"/>
      <c r="M24" s="88"/>
      <c r="N24" s="88"/>
      <c r="O24" s="88"/>
      <c r="P24" s="9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99"/>
      <c r="AC24" s="110"/>
      <c r="AD24" s="109"/>
    </row>
    <row r="25" spans="1:30">
      <c r="A25" s="81"/>
      <c r="B25" s="213"/>
      <c r="C25" s="213"/>
      <c r="D25" s="213"/>
      <c r="E25" s="213"/>
      <c r="F25" s="213"/>
      <c r="G25" s="213"/>
      <c r="H25" s="213"/>
      <c r="I25" s="88"/>
      <c r="J25" s="96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110"/>
      <c r="AD25" s="86"/>
    </row>
    <row r="26" spans="1:30">
      <c r="A26" s="81"/>
      <c r="B26" s="213"/>
      <c r="C26" s="213"/>
      <c r="D26" s="213"/>
      <c r="E26" s="213"/>
      <c r="F26" s="213"/>
      <c r="G26" s="213"/>
      <c r="H26" s="213"/>
      <c r="I26" s="88"/>
      <c r="J26" s="96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110"/>
      <c r="AD26" s="86"/>
    </row>
    <row r="27" spans="1:30">
      <c r="A27" s="101"/>
      <c r="B27" s="55"/>
      <c r="C27" s="55"/>
      <c r="D27" s="55"/>
      <c r="E27" s="55"/>
      <c r="F27" s="55"/>
      <c r="G27" s="55"/>
      <c r="H27" s="55"/>
      <c r="I27" s="90"/>
      <c r="J27" s="98"/>
      <c r="K27" s="90"/>
      <c r="L27" s="90"/>
      <c r="M27" s="90"/>
      <c r="N27" s="90"/>
      <c r="O27" s="90"/>
      <c r="P27" s="90"/>
      <c r="Q27" s="88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110"/>
      <c r="AD27" s="86"/>
    </row>
    <row r="28" spans="1:30">
      <c r="A28" s="87"/>
      <c r="B28" s="213"/>
      <c r="C28" s="213"/>
      <c r="D28" s="213"/>
      <c r="E28" s="213"/>
      <c r="F28" s="213"/>
      <c r="G28" s="213"/>
      <c r="H28" s="213"/>
      <c r="I28" s="88"/>
      <c r="J28" s="96"/>
      <c r="K28" s="88"/>
      <c r="L28" s="88"/>
      <c r="M28" s="88"/>
      <c r="N28" s="88"/>
      <c r="O28" s="88"/>
      <c r="P28" s="98"/>
      <c r="Q28" s="94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9"/>
      <c r="AC28" s="110"/>
      <c r="AD28" s="109"/>
    </row>
    <row r="29" spans="1:30">
      <c r="A29" s="87"/>
      <c r="B29" s="213"/>
      <c r="C29" s="213"/>
      <c r="D29" s="213"/>
      <c r="E29" s="213"/>
      <c r="F29" s="213"/>
      <c r="G29" s="213"/>
      <c r="H29" s="213"/>
      <c r="I29" s="88"/>
      <c r="J29" s="96"/>
      <c r="K29" s="88"/>
      <c r="L29" s="88"/>
      <c r="M29" s="88"/>
      <c r="N29" s="88"/>
      <c r="O29" s="88"/>
      <c r="P29" s="98"/>
      <c r="Q29" s="94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99"/>
      <c r="AC29" s="110"/>
      <c r="AD29" s="109"/>
    </row>
    <row r="30" spans="1:30">
      <c r="A30" s="87"/>
      <c r="B30" s="213"/>
      <c r="C30" s="213"/>
      <c r="D30" s="213"/>
      <c r="E30" s="213"/>
      <c r="F30" s="213"/>
      <c r="G30" s="213"/>
      <c r="H30" s="213"/>
      <c r="I30" s="88"/>
      <c r="J30" s="96"/>
      <c r="K30" s="88"/>
      <c r="L30" s="88"/>
      <c r="M30" s="88"/>
      <c r="N30" s="88"/>
      <c r="O30" s="88"/>
      <c r="P30" s="98"/>
      <c r="Q30" s="94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99"/>
      <c r="AC30" s="110"/>
      <c r="AD30" s="109"/>
    </row>
    <row r="31" spans="1:30">
      <c r="A31" s="87"/>
      <c r="B31" s="213"/>
      <c r="C31" s="213"/>
      <c r="D31" s="213"/>
      <c r="E31" s="213"/>
      <c r="F31" s="213"/>
      <c r="G31" s="213"/>
      <c r="H31" s="213"/>
      <c r="I31" s="88"/>
      <c r="J31" s="96"/>
      <c r="K31" s="88"/>
      <c r="L31" s="88"/>
      <c r="M31" s="88"/>
      <c r="N31" s="88"/>
      <c r="O31" s="88"/>
      <c r="P31" s="98"/>
      <c r="Q31" s="94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9"/>
      <c r="AC31" s="110"/>
      <c r="AD31" s="109"/>
    </row>
    <row r="32" spans="1:30">
      <c r="A32" s="87"/>
      <c r="B32" s="213"/>
      <c r="C32" s="213"/>
      <c r="D32" s="213"/>
      <c r="E32" s="213"/>
      <c r="F32" s="213"/>
      <c r="G32" s="213"/>
      <c r="H32" s="213"/>
      <c r="I32" s="88"/>
      <c r="J32" s="96"/>
      <c r="K32" s="88"/>
      <c r="L32" s="88"/>
      <c r="M32" s="88"/>
      <c r="N32" s="88"/>
      <c r="O32" s="88"/>
      <c r="P32" s="98"/>
      <c r="Q32" s="94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99"/>
      <c r="AC32" s="110"/>
      <c r="AD32" s="109"/>
    </row>
    <row r="33" spans="1:30">
      <c r="A33" s="87"/>
      <c r="B33" s="213"/>
      <c r="C33" s="213"/>
      <c r="D33" s="213"/>
      <c r="E33" s="213"/>
      <c r="F33" s="213"/>
      <c r="G33" s="213"/>
      <c r="H33" s="213"/>
      <c r="I33" s="88"/>
      <c r="J33" s="96"/>
      <c r="K33" s="88"/>
      <c r="L33" s="88"/>
      <c r="M33" s="88"/>
      <c r="N33" s="88"/>
      <c r="O33" s="88"/>
      <c r="P33" s="98"/>
      <c r="Q33" s="94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99"/>
      <c r="AC33" s="110"/>
      <c r="AD33" s="109"/>
    </row>
    <row r="34" spans="1:30">
      <c r="A34" s="87"/>
      <c r="B34" s="213"/>
      <c r="C34" s="213"/>
      <c r="D34" s="213"/>
      <c r="E34" s="213"/>
      <c r="F34" s="213"/>
      <c r="G34" s="213"/>
      <c r="H34" s="213"/>
      <c r="I34" s="88"/>
      <c r="J34" s="96"/>
      <c r="K34" s="88"/>
      <c r="L34" s="88"/>
      <c r="M34" s="88"/>
      <c r="N34" s="88"/>
      <c r="O34" s="88"/>
      <c r="P34" s="98"/>
      <c r="Q34" s="94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9"/>
      <c r="AC34" s="110"/>
      <c r="AD34" s="109"/>
    </row>
    <row r="35" spans="1:30">
      <c r="A35" s="87"/>
      <c r="B35" s="213"/>
      <c r="C35" s="213"/>
      <c r="D35" s="213"/>
      <c r="E35" s="213"/>
      <c r="F35" s="213"/>
      <c r="G35" s="213"/>
      <c r="H35" s="213"/>
      <c r="I35" s="88"/>
      <c r="J35" s="96"/>
      <c r="K35" s="88"/>
      <c r="L35" s="88"/>
      <c r="M35" s="88"/>
      <c r="N35" s="88"/>
      <c r="O35" s="88"/>
      <c r="P35" s="98"/>
      <c r="Q35" s="94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99"/>
      <c r="AC35" s="110"/>
      <c r="AD35" s="109"/>
    </row>
    <row r="36" spans="1:30">
      <c r="A36" s="87"/>
      <c r="B36" s="213"/>
      <c r="C36" s="213"/>
      <c r="D36" s="213"/>
      <c r="E36" s="213"/>
      <c r="F36" s="213"/>
      <c r="G36" s="213"/>
      <c r="H36" s="213"/>
      <c r="I36" s="88"/>
      <c r="J36" s="96"/>
      <c r="K36" s="88"/>
      <c r="L36" s="88"/>
      <c r="M36" s="88"/>
      <c r="N36" s="88"/>
      <c r="O36" s="88"/>
      <c r="P36" s="98"/>
      <c r="Q36" s="94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99"/>
      <c r="AC36" s="110"/>
      <c r="AD36" s="109"/>
    </row>
    <row r="37" spans="1:30">
      <c r="A37" s="87"/>
      <c r="B37" s="213"/>
      <c r="C37" s="213"/>
      <c r="D37" s="213"/>
      <c r="E37" s="213"/>
      <c r="F37" s="213"/>
      <c r="G37" s="213"/>
      <c r="H37" s="213"/>
      <c r="I37" s="88"/>
      <c r="J37" s="96"/>
      <c r="K37" s="88"/>
      <c r="L37" s="88"/>
      <c r="M37" s="88"/>
      <c r="N37" s="88"/>
      <c r="O37" s="88"/>
      <c r="P37" s="98"/>
      <c r="Q37" s="94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9"/>
      <c r="AC37" s="110"/>
      <c r="AD37" s="109"/>
    </row>
    <row r="38" spans="1:30">
      <c r="A38" s="87"/>
      <c r="B38" s="213"/>
      <c r="C38" s="213"/>
      <c r="D38" s="213"/>
      <c r="E38" s="213"/>
      <c r="F38" s="213"/>
      <c r="G38" s="213"/>
      <c r="H38" s="213"/>
      <c r="I38" s="88"/>
      <c r="J38" s="96"/>
      <c r="K38" s="88"/>
      <c r="L38" s="88"/>
      <c r="M38" s="88"/>
      <c r="N38" s="88"/>
      <c r="O38" s="88"/>
      <c r="P38" s="98"/>
      <c r="Q38" s="94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99"/>
      <c r="AC38" s="110"/>
      <c r="AD38" s="109"/>
    </row>
    <row r="39" spans="1:30">
      <c r="A39" s="87"/>
      <c r="B39" s="213"/>
      <c r="C39" s="213"/>
      <c r="D39" s="213"/>
      <c r="E39" s="213"/>
      <c r="F39" s="213"/>
      <c r="G39" s="213"/>
      <c r="H39" s="213"/>
      <c r="I39" s="88"/>
      <c r="J39" s="96"/>
      <c r="K39" s="88"/>
      <c r="L39" s="88"/>
      <c r="M39" s="88"/>
      <c r="N39" s="88"/>
      <c r="O39" s="88"/>
      <c r="P39" s="98"/>
      <c r="Q39" s="94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99"/>
      <c r="AC39" s="110"/>
      <c r="AD39" s="109"/>
    </row>
    <row r="40" spans="1:30">
      <c r="A40" s="87"/>
      <c r="B40" s="213"/>
      <c r="C40" s="213"/>
      <c r="D40" s="213"/>
      <c r="E40" s="213"/>
      <c r="F40" s="213"/>
      <c r="G40" s="213"/>
      <c r="H40" s="213"/>
      <c r="I40" s="88"/>
      <c r="J40" s="96"/>
      <c r="K40" s="88"/>
      <c r="L40" s="88"/>
      <c r="M40" s="88"/>
      <c r="N40" s="88"/>
      <c r="O40" s="88"/>
      <c r="P40" s="98"/>
      <c r="Q40" s="94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99"/>
      <c r="AC40" s="110"/>
      <c r="AD40" s="109"/>
    </row>
    <row r="41" spans="1:30">
      <c r="A41" s="87"/>
      <c r="B41" s="205"/>
      <c r="C41" s="205"/>
      <c r="D41" s="205"/>
      <c r="E41" s="205"/>
      <c r="F41" s="205"/>
      <c r="G41" s="205"/>
      <c r="H41" s="205"/>
      <c r="I41" s="96"/>
      <c r="J41" s="96"/>
      <c r="K41" s="96"/>
      <c r="L41" s="96"/>
      <c r="M41" s="96"/>
      <c r="N41" s="96"/>
      <c r="O41" s="96"/>
      <c r="P41" s="99"/>
      <c r="Q41" s="94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9"/>
      <c r="AC41" s="110"/>
      <c r="AD41" s="86"/>
    </row>
    <row r="42" spans="1:30">
      <c r="A42" s="87"/>
      <c r="B42" s="213"/>
      <c r="C42" s="213"/>
      <c r="D42" s="213"/>
      <c r="E42" s="213"/>
      <c r="F42" s="213"/>
      <c r="G42" s="213"/>
      <c r="H42" s="213"/>
      <c r="I42" s="88"/>
      <c r="J42" s="96"/>
      <c r="K42" s="88"/>
      <c r="L42" s="88"/>
      <c r="M42" s="88"/>
      <c r="N42" s="88"/>
      <c r="O42" s="88"/>
      <c r="P42" s="98"/>
      <c r="Q42" s="94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99"/>
      <c r="AC42" s="110"/>
      <c r="AD42" s="109"/>
    </row>
    <row r="43" spans="1:30">
      <c r="A43" s="87"/>
      <c r="B43" s="213"/>
      <c r="C43" s="213"/>
      <c r="D43" s="213"/>
      <c r="E43" s="213"/>
      <c r="F43" s="213"/>
      <c r="G43" s="213"/>
      <c r="H43" s="213"/>
      <c r="I43" s="88"/>
      <c r="J43" s="96"/>
      <c r="K43" s="88"/>
      <c r="L43" s="88"/>
      <c r="M43" s="88"/>
      <c r="N43" s="88"/>
      <c r="O43" s="88"/>
      <c r="P43" s="98"/>
      <c r="Q43" s="94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99"/>
      <c r="AC43" s="110"/>
      <c r="AD43" s="109"/>
    </row>
    <row r="44" spans="1:30">
      <c r="A44" s="92"/>
      <c r="B44" s="295"/>
      <c r="C44" s="295"/>
      <c r="D44" s="295"/>
      <c r="E44" s="295"/>
      <c r="F44" s="295"/>
      <c r="G44" s="295"/>
      <c r="H44" s="295"/>
      <c r="I44" s="110"/>
      <c r="J44" s="301"/>
      <c r="K44" s="110"/>
      <c r="L44" s="110"/>
      <c r="M44" s="110"/>
      <c r="N44" s="110"/>
      <c r="O44" s="110"/>
      <c r="P44" s="102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03"/>
      <c r="AC44" s="110"/>
      <c r="AD44" s="86"/>
    </row>
    <row r="45" spans="1:30">
      <c r="A45" s="92"/>
      <c r="B45" s="295"/>
      <c r="C45" s="295"/>
      <c r="D45" s="295"/>
      <c r="E45" s="295"/>
      <c r="F45" s="295"/>
      <c r="G45" s="295"/>
      <c r="H45" s="295"/>
      <c r="I45" s="110"/>
      <c r="J45" s="301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86"/>
    </row>
    <row r="46" spans="1:30">
      <c r="A46" s="92"/>
      <c r="B46" s="296"/>
      <c r="C46" s="296"/>
      <c r="D46" s="296"/>
      <c r="E46" s="296"/>
      <c r="F46" s="296"/>
      <c r="G46" s="296"/>
      <c r="H46" s="296"/>
      <c r="I46" s="86"/>
      <c r="J46" s="302"/>
      <c r="K46" s="86"/>
      <c r="L46" s="86"/>
      <c r="M46" s="86"/>
      <c r="N46" s="86"/>
      <c r="O46" s="86"/>
      <c r="P46" s="110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>
      <c r="A47" s="92"/>
      <c r="B47" s="260"/>
      <c r="C47" s="260"/>
      <c r="D47" s="260"/>
      <c r="E47" s="260"/>
      <c r="F47" s="260"/>
      <c r="G47" s="260"/>
      <c r="H47" s="260"/>
      <c r="I47" s="93"/>
      <c r="J47" s="303"/>
      <c r="K47" s="93"/>
      <c r="L47" s="93"/>
      <c r="M47" s="93"/>
      <c r="N47" s="93"/>
      <c r="O47" s="93"/>
      <c r="P47" s="100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1:30">
      <c r="A48" s="92"/>
      <c r="B48" s="260"/>
      <c r="C48" s="260"/>
      <c r="D48" s="260"/>
      <c r="E48" s="260"/>
      <c r="F48" s="260"/>
      <c r="G48" s="260"/>
      <c r="H48" s="260"/>
      <c r="I48" s="93"/>
      <c r="J48" s="303"/>
      <c r="K48" s="93"/>
      <c r="L48" s="93"/>
      <c r="M48" s="93"/>
      <c r="N48" s="93"/>
      <c r="O48" s="93"/>
      <c r="P48" s="100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1:30">
      <c r="A49" s="92"/>
      <c r="B49" s="260"/>
      <c r="C49" s="260"/>
      <c r="D49" s="260"/>
      <c r="E49" s="260"/>
      <c r="F49" s="260"/>
      <c r="G49" s="260"/>
      <c r="H49" s="260"/>
      <c r="I49" s="93"/>
      <c r="J49" s="303"/>
      <c r="K49" s="93"/>
      <c r="L49" s="93"/>
      <c r="M49" s="93"/>
      <c r="N49" s="93"/>
      <c r="O49" s="93"/>
      <c r="P49" s="100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1:30">
      <c r="A50" s="92"/>
      <c r="B50" s="260"/>
      <c r="C50" s="260"/>
      <c r="D50" s="260"/>
      <c r="E50" s="260"/>
      <c r="F50" s="260"/>
      <c r="G50" s="260"/>
      <c r="H50" s="260"/>
      <c r="I50" s="93"/>
      <c r="J50" s="303"/>
      <c r="K50" s="93"/>
      <c r="L50" s="93"/>
      <c r="M50" s="93"/>
      <c r="N50" s="93"/>
      <c r="O50" s="93"/>
      <c r="P50" s="100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</row>
    <row r="51" spans="1:30">
      <c r="A51" s="92"/>
      <c r="I51" s="92"/>
      <c r="J51" s="304"/>
      <c r="K51" s="92"/>
      <c r="L51" s="92"/>
      <c r="M51" s="92"/>
      <c r="N51" s="93"/>
      <c r="O51" s="93"/>
      <c r="P51" s="100"/>
      <c r="Q51" s="93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2"/>
      <c r="AC51" s="92"/>
      <c r="AD51" s="93"/>
    </row>
    <row r="52" spans="1:30">
      <c r="A52" s="92"/>
      <c r="I52" s="92"/>
      <c r="J52" s="304"/>
      <c r="K52" s="92"/>
      <c r="L52" s="92"/>
      <c r="M52" s="92"/>
      <c r="N52" s="93"/>
      <c r="O52" s="93"/>
      <c r="P52" s="100"/>
      <c r="Q52" s="93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2"/>
      <c r="AC52" s="92"/>
      <c r="AD52" s="93"/>
    </row>
    <row r="53" spans="1:30">
      <c r="P53" s="42"/>
    </row>
    <row r="54" spans="1:30">
      <c r="P54" s="42"/>
    </row>
    <row r="55" spans="1:30">
      <c r="P55" s="42"/>
    </row>
    <row r="56" spans="1:30">
      <c r="P56" s="42"/>
    </row>
    <row r="57" spans="1:30">
      <c r="P57" s="42"/>
    </row>
    <row r="58" spans="1:30">
      <c r="P58" s="42"/>
    </row>
    <row r="59" spans="1:30">
      <c r="P59" s="42"/>
    </row>
    <row r="60" spans="1:30">
      <c r="P60" s="42"/>
    </row>
    <row r="61" spans="1:30">
      <c r="P61" s="42"/>
    </row>
    <row r="62" spans="1:30">
      <c r="P62" s="42"/>
    </row>
    <row r="63" spans="1:30">
      <c r="P63" s="42"/>
    </row>
    <row r="64" spans="1:30">
      <c r="P64" s="42"/>
    </row>
    <row r="65" spans="16:16">
      <c r="P65" s="42"/>
    </row>
    <row r="66" spans="16:16">
      <c r="P66" s="42"/>
    </row>
    <row r="67" spans="16:16">
      <c r="P67" s="42"/>
    </row>
    <row r="68" spans="16:16">
      <c r="P68" s="42"/>
    </row>
    <row r="69" spans="16:16">
      <c r="P69" s="42"/>
    </row>
    <row r="70" spans="16:16">
      <c r="P70" s="42"/>
    </row>
    <row r="71" spans="16:16">
      <c r="P71" s="42"/>
    </row>
    <row r="72" spans="16:16">
      <c r="P72" s="42"/>
    </row>
    <row r="73" spans="16:16">
      <c r="P73" s="42"/>
    </row>
    <row r="74" spans="16:16">
      <c r="P74" s="42"/>
    </row>
    <row r="75" spans="16:16">
      <c r="P75" s="42"/>
    </row>
    <row r="76" spans="16:16">
      <c r="P76" s="42"/>
    </row>
    <row r="77" spans="16:16">
      <c r="P77" s="42"/>
    </row>
    <row r="78" spans="16:16">
      <c r="P78" s="42"/>
    </row>
    <row r="79" spans="16:16">
      <c r="P79" s="42"/>
    </row>
    <row r="80" spans="16:16">
      <c r="P80" s="42"/>
    </row>
    <row r="81" spans="16:16">
      <c r="P81" s="42"/>
    </row>
    <row r="82" spans="16:16">
      <c r="P82" s="42"/>
    </row>
    <row r="83" spans="16:16">
      <c r="P83" s="42"/>
    </row>
    <row r="84" spans="16:16">
      <c r="P84" s="42"/>
    </row>
    <row r="85" spans="16:16">
      <c r="P85" s="42"/>
    </row>
    <row r="86" spans="16:16">
      <c r="P86" s="42"/>
    </row>
  </sheetData>
  <phoneticPr fontId="23" type="noConversion"/>
  <printOptions gridLines="1"/>
  <pageMargins left="0.25" right="0.25" top="1" bottom="1" header="0.5" footer="0.5"/>
  <pageSetup scale="66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86"/>
  <sheetViews>
    <sheetView zoomScale="125" zoomScaleNormal="125" zoomScalePageLayoutView="125" workbookViewId="0">
      <selection activeCell="E13" sqref="E13"/>
    </sheetView>
  </sheetViews>
  <sheetFormatPr defaultColWidth="8.88671875" defaultRowHeight="13.2"/>
  <cols>
    <col min="1" max="1" width="40.88671875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8" width="9.33203125" customWidth="1"/>
    <col min="9" max="9" width="9.109375" customWidth="1"/>
    <col min="11" max="11" width="10" style="234" customWidth="1"/>
    <col min="12" max="12" width="25.44140625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41" customWidth="1"/>
    <col min="23" max="23" width="10" style="41" customWidth="1"/>
    <col min="24" max="25" width="8.6640625" style="41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17.399999999999999">
      <c r="A1" s="112" t="s">
        <v>173</v>
      </c>
      <c r="B1" s="21"/>
      <c r="C1" s="21"/>
      <c r="D1" s="21"/>
      <c r="E1" s="21" t="s">
        <v>98</v>
      </c>
      <c r="F1" s="171">
        <f>MIN(B6:B7)</f>
        <v>0</v>
      </c>
      <c r="G1" s="21"/>
      <c r="H1" s="21" t="s">
        <v>100</v>
      </c>
      <c r="I1" s="21"/>
      <c r="J1" s="242" t="e">
        <f>MIN(H6:H7)</f>
        <v>#DIV/0!</v>
      </c>
      <c r="K1" s="225"/>
      <c r="L1" s="28"/>
      <c r="M1" s="28"/>
      <c r="N1" s="28"/>
      <c r="O1" s="28"/>
      <c r="P1" s="113"/>
      <c r="Q1" s="82"/>
      <c r="R1" s="83"/>
      <c r="S1" s="83"/>
      <c r="T1" s="83"/>
      <c r="U1" s="83"/>
      <c r="V1" s="83"/>
      <c r="W1" s="83"/>
      <c r="X1" s="83"/>
      <c r="Y1" s="83"/>
      <c r="Z1" s="84"/>
      <c r="AA1" s="85"/>
      <c r="AB1" s="86"/>
      <c r="AC1" s="60"/>
      <c r="AD1" s="1"/>
      <c r="AE1" s="1"/>
      <c r="AF1" s="1"/>
    </row>
    <row r="2" spans="1:35">
      <c r="A2" s="77"/>
      <c r="B2" s="24"/>
      <c r="C2" s="24"/>
      <c r="D2" s="24"/>
      <c r="E2" s="24" t="s">
        <v>99</v>
      </c>
      <c r="F2" s="171">
        <f>MAX(B6:B7)</f>
        <v>0</v>
      </c>
      <c r="G2" s="24"/>
      <c r="H2" s="24" t="s">
        <v>101</v>
      </c>
      <c r="I2" s="24"/>
      <c r="J2" s="241" t="e">
        <f>MAX(H6:H7)</f>
        <v>#DIV/0!</v>
      </c>
      <c r="K2" s="226"/>
      <c r="L2" s="114"/>
      <c r="M2" s="52"/>
      <c r="N2" s="52"/>
      <c r="O2" s="52"/>
      <c r="P2" s="115"/>
      <c r="Q2" s="89"/>
      <c r="R2" s="89"/>
      <c r="S2" s="83"/>
      <c r="T2" s="83"/>
      <c r="U2" s="83"/>
      <c r="V2" s="83"/>
      <c r="W2" s="83"/>
      <c r="X2" s="83"/>
      <c r="Y2" s="83"/>
      <c r="Z2" s="84"/>
      <c r="AA2" s="85"/>
      <c r="AB2" s="86"/>
      <c r="AC2" s="60"/>
      <c r="AD2" s="1"/>
      <c r="AE2" s="1"/>
      <c r="AF2" s="1"/>
    </row>
    <row r="3" spans="1:35">
      <c r="A3" s="275"/>
      <c r="B3" s="16" t="s">
        <v>75</v>
      </c>
      <c r="C3" s="23"/>
      <c r="D3" s="23"/>
      <c r="E3" s="23"/>
      <c r="F3" s="23"/>
      <c r="G3" s="23"/>
      <c r="H3" s="23"/>
      <c r="I3" s="23"/>
      <c r="J3" s="16"/>
      <c r="K3" s="227"/>
      <c r="L3" s="28"/>
      <c r="M3" s="23"/>
      <c r="N3" s="23"/>
      <c r="O3" s="23"/>
      <c r="P3" s="116"/>
      <c r="Q3" s="91"/>
      <c r="R3" s="89"/>
      <c r="S3" s="83"/>
      <c r="T3" s="83"/>
      <c r="U3" s="83"/>
      <c r="V3" s="83"/>
      <c r="W3" s="83"/>
      <c r="X3" s="83"/>
      <c r="Y3" s="83"/>
      <c r="Z3" s="84"/>
      <c r="AA3" s="85"/>
      <c r="AB3" s="86"/>
      <c r="AC3" s="60"/>
      <c r="AD3" s="1"/>
      <c r="AE3" s="1"/>
      <c r="AF3" s="1"/>
    </row>
    <row r="4" spans="1:35">
      <c r="A4" s="16"/>
      <c r="B4" s="16"/>
      <c r="C4" s="23"/>
      <c r="D4" s="23"/>
      <c r="E4" s="23" t="s">
        <v>39</v>
      </c>
      <c r="F4" s="23"/>
      <c r="G4" s="23"/>
      <c r="H4" s="23"/>
      <c r="I4" s="23"/>
      <c r="J4" s="23"/>
      <c r="K4" s="227"/>
      <c r="L4" s="28"/>
      <c r="M4" s="23"/>
      <c r="N4" s="23"/>
      <c r="O4" s="23"/>
      <c r="P4" s="116"/>
      <c r="Q4" s="91"/>
      <c r="R4" s="89"/>
      <c r="S4" s="83"/>
      <c r="T4" s="83"/>
      <c r="U4" s="83"/>
      <c r="V4" s="83"/>
      <c r="W4" s="83"/>
      <c r="X4" s="83"/>
      <c r="Y4" s="83"/>
      <c r="Z4" s="84"/>
      <c r="AA4" s="85"/>
      <c r="AB4" s="86"/>
      <c r="AC4" s="60"/>
      <c r="AD4" s="1"/>
      <c r="AE4" s="1"/>
      <c r="AF4" s="1"/>
    </row>
    <row r="5" spans="1:35" ht="26.4">
      <c r="B5" s="372" t="s">
        <v>151</v>
      </c>
      <c r="C5" s="39" t="s">
        <v>74</v>
      </c>
      <c r="D5" s="23" t="s">
        <v>22</v>
      </c>
      <c r="E5" s="23"/>
      <c r="F5" s="372" t="s">
        <v>158</v>
      </c>
      <c r="G5" s="372" t="s">
        <v>109</v>
      </c>
      <c r="H5" s="39" t="s">
        <v>142</v>
      </c>
      <c r="I5" s="39" t="s">
        <v>44</v>
      </c>
      <c r="J5" s="39"/>
      <c r="K5" s="227" t="s">
        <v>52</v>
      </c>
      <c r="L5" s="379" t="s">
        <v>110</v>
      </c>
      <c r="M5" s="20"/>
      <c r="N5" s="28"/>
      <c r="O5" s="28"/>
      <c r="P5" s="113"/>
      <c r="Q5" s="82"/>
      <c r="R5" s="82"/>
      <c r="S5" s="82"/>
      <c r="T5" s="82"/>
      <c r="U5" s="82"/>
      <c r="V5" s="82"/>
      <c r="W5" s="82"/>
      <c r="X5" s="82"/>
      <c r="Y5" s="82"/>
      <c r="Z5" s="81"/>
      <c r="AA5" s="92"/>
      <c r="AB5" s="93"/>
    </row>
    <row r="6" spans="1:35" ht="14.4">
      <c r="A6" s="410" t="s">
        <v>162</v>
      </c>
      <c r="B6" s="373"/>
      <c r="C6" s="222">
        <v>50</v>
      </c>
      <c r="D6" s="204">
        <v>1</v>
      </c>
      <c r="E6" s="156"/>
      <c r="F6" s="338"/>
      <c r="G6" s="375"/>
      <c r="H6" s="239" t="e">
        <f>+G6/F6</f>
        <v>#DIV/0!</v>
      </c>
      <c r="I6" s="311" t="e">
        <f>$F$10*H6+$F$11</f>
        <v>#DIV/0!</v>
      </c>
      <c r="J6" s="166" t="e">
        <f>RANK(I6,$I$6:$I$7)</f>
        <v>#DIV/0!</v>
      </c>
      <c r="K6" s="118" t="e">
        <f>C6+I6</f>
        <v>#DIV/0!</v>
      </c>
      <c r="L6" s="380"/>
      <c r="M6" s="119"/>
      <c r="N6" s="28"/>
      <c r="O6" s="28"/>
      <c r="P6" s="117"/>
      <c r="Q6" s="82"/>
      <c r="R6" s="82"/>
      <c r="S6" s="82"/>
      <c r="T6" s="82"/>
      <c r="U6" s="82"/>
      <c r="V6" s="82"/>
      <c r="W6" s="82"/>
      <c r="X6" s="82"/>
      <c r="Y6" s="82"/>
      <c r="Z6" s="81"/>
      <c r="AA6" s="92"/>
      <c r="AB6" s="93"/>
      <c r="AH6" s="31"/>
      <c r="AI6" s="31"/>
    </row>
    <row r="7" spans="1:35" ht="14.4">
      <c r="A7" s="410" t="s">
        <v>161</v>
      </c>
      <c r="B7" s="374"/>
      <c r="C7" s="222" t="s">
        <v>240</v>
      </c>
      <c r="D7" s="204" t="s">
        <v>240</v>
      </c>
      <c r="E7" s="174"/>
      <c r="F7" s="376"/>
      <c r="G7" s="377"/>
      <c r="H7" s="239" t="e">
        <f t="shared" ref="H7" si="0">+G7/F7</f>
        <v>#DIV/0!</v>
      </c>
      <c r="I7" s="311" t="e">
        <f>$F$10*H7+$F$11</f>
        <v>#DIV/0!</v>
      </c>
      <c r="J7" s="166" t="e">
        <f>RANK(I7,$I$6:$I$7)</f>
        <v>#DIV/0!</v>
      </c>
      <c r="K7" s="118" t="e">
        <f t="shared" ref="K7" si="1">C7+I7</f>
        <v>#VALUE!</v>
      </c>
      <c r="L7" s="380"/>
      <c r="M7" s="119"/>
      <c r="N7" s="28"/>
      <c r="O7" s="28"/>
      <c r="P7" s="113"/>
      <c r="Q7" s="82"/>
      <c r="R7" s="82"/>
      <c r="S7" s="82"/>
      <c r="T7" s="82"/>
      <c r="U7" s="82"/>
      <c r="V7" s="82"/>
      <c r="W7" s="82"/>
      <c r="X7" s="82"/>
      <c r="Y7" s="82"/>
      <c r="Z7" s="81"/>
      <c r="AA7" s="92"/>
      <c r="AB7" s="93"/>
      <c r="AH7" s="31"/>
      <c r="AI7" s="31"/>
    </row>
    <row r="8" spans="1:35" ht="14.4">
      <c r="A8" s="317"/>
      <c r="B8" s="125"/>
      <c r="C8" s="96"/>
      <c r="D8" s="96"/>
      <c r="E8" s="96"/>
      <c r="F8" s="96"/>
      <c r="G8" s="96"/>
      <c r="H8" s="96"/>
      <c r="I8" s="96"/>
      <c r="J8" s="96"/>
      <c r="K8" s="228"/>
      <c r="L8" s="381"/>
      <c r="M8" s="96"/>
      <c r="N8" s="98"/>
      <c r="O8" s="94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99"/>
      <c r="AA8" s="105"/>
      <c r="AB8" s="109"/>
      <c r="AC8" s="48"/>
      <c r="AD8" s="32"/>
      <c r="AE8" s="32"/>
      <c r="AF8" s="32"/>
      <c r="AG8" s="32"/>
      <c r="AH8" s="31"/>
      <c r="AI8" s="31"/>
    </row>
    <row r="9" spans="1:35">
      <c r="A9" s="87"/>
      <c r="B9" s="96"/>
      <c r="C9" s="96"/>
      <c r="D9" s="96"/>
      <c r="E9" s="96"/>
      <c r="F9" s="96"/>
      <c r="G9" s="96"/>
      <c r="H9" s="96"/>
      <c r="I9" s="96"/>
      <c r="J9" s="96"/>
      <c r="K9" s="228"/>
      <c r="L9" s="96"/>
      <c r="M9" s="96"/>
      <c r="N9" s="98"/>
      <c r="O9" s="94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99"/>
      <c r="AA9" s="105"/>
      <c r="AB9" s="109"/>
      <c r="AC9" s="48"/>
      <c r="AD9" s="32"/>
      <c r="AE9" s="32"/>
      <c r="AF9" s="32"/>
      <c r="AG9" s="32"/>
      <c r="AH9" s="31"/>
      <c r="AI9" s="31"/>
    </row>
    <row r="10" spans="1:35" ht="13.8">
      <c r="A10" s="87"/>
      <c r="B10" s="325" t="e">
        <f>(50-2.5)/(F1-F2)</f>
        <v>#DIV/0!</v>
      </c>
      <c r="D10" s="129"/>
      <c r="E10" s="96"/>
      <c r="F10" s="325" t="e">
        <f>(50)/(J2-J1)</f>
        <v>#DIV/0!</v>
      </c>
      <c r="G10" s="96"/>
      <c r="I10" s="96"/>
      <c r="J10" s="96"/>
      <c r="K10" s="228"/>
      <c r="L10" s="96"/>
      <c r="M10" s="96"/>
      <c r="N10" s="98"/>
      <c r="O10" s="94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99"/>
      <c r="AA10" s="110"/>
      <c r="AB10" s="109"/>
    </row>
    <row r="11" spans="1:35" ht="13.8">
      <c r="A11" s="87" t="s">
        <v>152</v>
      </c>
      <c r="B11" s="326" t="e">
        <f>2.5-(B10*F2)</f>
        <v>#DIV/0!</v>
      </c>
      <c r="D11" s="151" t="s">
        <v>39</v>
      </c>
      <c r="E11" s="96"/>
      <c r="F11" s="326" t="e">
        <f>-(F10*J1)</f>
        <v>#DIV/0!</v>
      </c>
      <c r="G11" s="96"/>
      <c r="I11" s="96"/>
      <c r="J11" s="96"/>
      <c r="K11" s="228"/>
      <c r="L11" s="96"/>
      <c r="M11" s="96"/>
      <c r="N11" s="98"/>
      <c r="O11" s="94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99"/>
      <c r="AA11" s="110"/>
      <c r="AB11" s="109"/>
    </row>
    <row r="12" spans="1:35" ht="13.8">
      <c r="A12" s="87" t="s">
        <v>153</v>
      </c>
      <c r="B12" s="88"/>
      <c r="C12" s="150"/>
      <c r="D12" s="150"/>
      <c r="E12" s="88"/>
      <c r="F12" s="88"/>
      <c r="G12" s="88"/>
      <c r="H12" s="88"/>
      <c r="I12" s="88"/>
      <c r="J12" s="88"/>
      <c r="K12" s="228"/>
      <c r="L12" s="88"/>
      <c r="M12" s="88"/>
      <c r="N12" s="98"/>
      <c r="O12" s="94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99"/>
      <c r="AA12" s="110"/>
      <c r="AB12" s="109"/>
    </row>
    <row r="13" spans="1:35">
      <c r="A13" s="87"/>
      <c r="B13" s="96"/>
      <c r="C13" s="96" t="s">
        <v>39</v>
      </c>
      <c r="D13" s="153" t="s">
        <v>39</v>
      </c>
      <c r="E13" s="96"/>
      <c r="F13" s="96"/>
      <c r="G13" s="96"/>
      <c r="H13" s="96"/>
      <c r="I13" s="96"/>
      <c r="J13" s="96"/>
      <c r="K13" s="228"/>
      <c r="L13" s="96"/>
      <c r="M13" s="96"/>
      <c r="N13" s="98"/>
      <c r="O13" s="94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99"/>
      <c r="AA13" s="110"/>
      <c r="AB13" s="109"/>
    </row>
    <row r="14" spans="1:35">
      <c r="A14" s="87"/>
      <c r="B14" s="96"/>
      <c r="C14" s="96" t="s">
        <v>68</v>
      </c>
      <c r="D14" s="96"/>
      <c r="E14" s="96"/>
      <c r="F14" s="96"/>
      <c r="G14" s="96"/>
      <c r="H14" s="96"/>
      <c r="I14" s="96"/>
      <c r="J14" s="96"/>
      <c r="K14" s="228"/>
      <c r="L14" s="96"/>
      <c r="M14" s="96"/>
      <c r="N14" s="98"/>
      <c r="O14" s="94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99"/>
      <c r="AA14" s="110"/>
      <c r="AB14" s="109"/>
    </row>
    <row r="15" spans="1:3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228"/>
      <c r="L15" s="88"/>
      <c r="M15" s="88"/>
      <c r="N15" s="98"/>
      <c r="O15" s="94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99"/>
      <c r="AA15" s="110"/>
      <c r="AB15" s="109"/>
    </row>
    <row r="16" spans="1:3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228"/>
      <c r="L16" s="88"/>
      <c r="M16" s="88"/>
      <c r="N16" s="98"/>
      <c r="O16" s="94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99"/>
      <c r="AA16" s="110"/>
      <c r="AB16" s="109"/>
    </row>
    <row r="17" spans="1:28">
      <c r="A17" s="87"/>
      <c r="B17" s="96"/>
      <c r="C17" s="96"/>
      <c r="D17" s="96"/>
      <c r="E17" s="96"/>
      <c r="F17" s="96"/>
      <c r="G17" s="96"/>
      <c r="H17" s="96"/>
      <c r="I17" s="96"/>
      <c r="J17" s="96"/>
      <c r="K17" s="228"/>
      <c r="L17" s="96"/>
      <c r="M17" s="96"/>
      <c r="N17" s="98"/>
      <c r="O17" s="94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99"/>
      <c r="AA17" s="110"/>
      <c r="AB17" s="109"/>
    </row>
    <row r="18" spans="1:28">
      <c r="A18" s="87"/>
      <c r="B18" s="96"/>
      <c r="C18" s="96"/>
      <c r="D18" s="96"/>
      <c r="E18" s="96"/>
      <c r="F18" s="96"/>
      <c r="G18" s="96"/>
      <c r="H18" s="96"/>
      <c r="I18" s="96"/>
      <c r="J18" s="96"/>
      <c r="K18" s="228"/>
      <c r="L18" s="96"/>
      <c r="M18" s="96"/>
      <c r="N18" s="98"/>
      <c r="O18" s="94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99"/>
      <c r="AA18" s="110"/>
      <c r="AB18" s="109"/>
    </row>
    <row r="19" spans="1:28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228"/>
      <c r="L19" s="88"/>
      <c r="M19" s="88"/>
      <c r="N19" s="98"/>
      <c r="O19" s="94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99"/>
      <c r="AA19" s="110"/>
      <c r="AB19" s="109"/>
    </row>
    <row r="20" spans="1:28">
      <c r="A20" s="87"/>
      <c r="B20" s="111"/>
      <c r="C20" s="96"/>
      <c r="D20" s="96"/>
      <c r="E20" s="96"/>
      <c r="F20" s="96"/>
      <c r="G20" s="96"/>
      <c r="H20" s="96"/>
      <c r="I20" s="96"/>
      <c r="J20" s="96"/>
      <c r="K20" s="228"/>
      <c r="L20" s="96"/>
      <c r="M20" s="96"/>
      <c r="N20" s="98"/>
      <c r="O20" s="94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99"/>
      <c r="AA20" s="110"/>
      <c r="AB20" s="109"/>
    </row>
    <row r="21" spans="1:28">
      <c r="A21" s="87"/>
      <c r="B21" s="96"/>
      <c r="C21" s="96"/>
      <c r="D21" s="96"/>
      <c r="E21" s="96"/>
      <c r="F21" s="96"/>
      <c r="G21" s="96"/>
      <c r="H21" s="96"/>
      <c r="I21" s="96"/>
      <c r="J21" s="96"/>
      <c r="K21" s="228"/>
      <c r="L21" s="96"/>
      <c r="M21" s="96"/>
      <c r="N21" s="99"/>
      <c r="O21" s="94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99"/>
      <c r="AA21" s="110"/>
      <c r="AB21" s="86"/>
    </row>
    <row r="22" spans="1:28">
      <c r="A22" s="87"/>
      <c r="B22" s="88"/>
      <c r="C22" s="88"/>
      <c r="D22" s="146"/>
      <c r="E22" s="73"/>
      <c r="F22" s="73"/>
      <c r="G22" s="88"/>
      <c r="H22" s="88"/>
      <c r="I22" s="88"/>
      <c r="J22" s="88"/>
      <c r="K22" s="228"/>
      <c r="L22" s="88"/>
      <c r="M22" s="88"/>
      <c r="N22" s="98"/>
      <c r="O22" s="94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99"/>
      <c r="AA22" s="110"/>
      <c r="AB22" s="109"/>
    </row>
    <row r="23" spans="1:28">
      <c r="A23" s="87"/>
      <c r="B23" s="96"/>
      <c r="C23" s="96"/>
      <c r="D23" s="73"/>
      <c r="E23" s="73"/>
      <c r="F23" s="145"/>
      <c r="G23" s="142"/>
      <c r="H23" s="142"/>
      <c r="I23" s="142"/>
      <c r="J23" s="96"/>
      <c r="K23" s="228"/>
      <c r="L23" s="96"/>
      <c r="M23" s="96"/>
      <c r="N23" s="98"/>
      <c r="O23" s="94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99"/>
      <c r="AA23" s="110"/>
      <c r="AB23" s="109"/>
    </row>
    <row r="24" spans="1:28">
      <c r="A24" s="87"/>
      <c r="B24" s="96"/>
      <c r="C24" s="88"/>
      <c r="D24" s="73"/>
      <c r="E24" s="73"/>
      <c r="F24" s="73"/>
      <c r="G24" s="88"/>
      <c r="H24" s="88"/>
      <c r="I24" s="88"/>
      <c r="J24" s="88"/>
      <c r="K24" s="228"/>
      <c r="L24" s="88"/>
      <c r="M24" s="88"/>
      <c r="N24" s="9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99"/>
      <c r="AA24" s="110"/>
      <c r="AB24" s="109"/>
    </row>
    <row r="25" spans="1:28">
      <c r="A25" s="81"/>
      <c r="B25" s="88"/>
      <c r="C25" s="88"/>
      <c r="D25" s="88"/>
      <c r="E25" s="88"/>
      <c r="F25" s="88"/>
      <c r="G25" s="88"/>
      <c r="H25" s="88"/>
      <c r="I25" s="88"/>
      <c r="J25" s="88"/>
      <c r="K25" s="22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110"/>
      <c r="AB25" s="86"/>
    </row>
    <row r="26" spans="1:28">
      <c r="A26" s="81"/>
      <c r="B26" s="88"/>
      <c r="C26" s="88"/>
      <c r="D26" s="88"/>
      <c r="E26" s="88"/>
      <c r="F26" s="88"/>
      <c r="G26" s="88"/>
      <c r="H26" s="88"/>
      <c r="I26" s="88"/>
      <c r="J26" s="88"/>
      <c r="K26" s="22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110"/>
      <c r="AB26" s="86"/>
    </row>
    <row r="27" spans="1:28">
      <c r="A27" s="81"/>
      <c r="B27" s="90"/>
      <c r="C27" s="90"/>
      <c r="D27" s="90"/>
      <c r="E27" s="90"/>
      <c r="F27" s="90"/>
      <c r="G27" s="90"/>
      <c r="H27" s="90"/>
      <c r="I27" s="90"/>
      <c r="J27" s="90"/>
      <c r="K27" s="229"/>
      <c r="L27" s="90"/>
      <c r="M27" s="90"/>
      <c r="N27" s="90"/>
      <c r="O27" s="88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110"/>
      <c r="AB27" s="86"/>
    </row>
    <row r="28" spans="1:28">
      <c r="A28" s="101"/>
      <c r="B28" s="88"/>
      <c r="C28" s="88"/>
      <c r="D28" s="88"/>
      <c r="E28" s="88"/>
      <c r="F28" s="88"/>
      <c r="G28" s="88"/>
      <c r="H28" s="88"/>
      <c r="I28" s="88"/>
      <c r="J28" s="88"/>
      <c r="K28" s="228"/>
      <c r="L28" s="88"/>
      <c r="M28" s="88"/>
      <c r="N28" s="98"/>
      <c r="O28" s="94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99"/>
      <c r="AA28" s="110"/>
      <c r="AB28" s="109"/>
    </row>
    <row r="29" spans="1:28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228"/>
      <c r="L29" s="88"/>
      <c r="M29" s="88"/>
      <c r="N29" s="98"/>
      <c r="O29" s="94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99"/>
      <c r="AA29" s="110"/>
      <c r="AB29" s="109"/>
    </row>
    <row r="30" spans="1:28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228"/>
      <c r="L30" s="88"/>
      <c r="M30" s="88"/>
      <c r="N30" s="98"/>
      <c r="O30" s="94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99"/>
      <c r="AA30" s="110"/>
      <c r="AB30" s="109"/>
    </row>
    <row r="31" spans="1:28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228"/>
      <c r="L31" s="88"/>
      <c r="M31" s="88"/>
      <c r="N31" s="98"/>
      <c r="O31" s="94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99"/>
      <c r="AA31" s="110"/>
      <c r="AB31" s="109"/>
    </row>
    <row r="32" spans="1:28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228"/>
      <c r="L32" s="88"/>
      <c r="M32" s="88"/>
      <c r="N32" s="98"/>
      <c r="O32" s="94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99"/>
      <c r="AA32" s="110"/>
      <c r="AB32" s="109"/>
    </row>
    <row r="33" spans="1:28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228"/>
      <c r="L33" s="88"/>
      <c r="M33" s="88"/>
      <c r="N33" s="98"/>
      <c r="O33" s="94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99"/>
      <c r="AA33" s="110"/>
      <c r="AB33" s="109"/>
    </row>
    <row r="34" spans="1:28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228"/>
      <c r="L34" s="88"/>
      <c r="M34" s="88"/>
      <c r="N34" s="98"/>
      <c r="O34" s="94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99"/>
      <c r="AA34" s="110"/>
      <c r="AB34" s="109"/>
    </row>
    <row r="35" spans="1:28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228"/>
      <c r="L35" s="88"/>
      <c r="M35" s="88"/>
      <c r="N35" s="98"/>
      <c r="O35" s="94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99"/>
      <c r="AA35" s="110"/>
      <c r="AB35" s="109"/>
    </row>
    <row r="36" spans="1:28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228"/>
      <c r="L36" s="88"/>
      <c r="M36" s="88"/>
      <c r="N36" s="98"/>
      <c r="O36" s="94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99"/>
      <c r="AA36" s="110"/>
      <c r="AB36" s="109"/>
    </row>
    <row r="37" spans="1:28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228"/>
      <c r="L37" s="88"/>
      <c r="M37" s="88"/>
      <c r="N37" s="98"/>
      <c r="O37" s="94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99"/>
      <c r="AA37" s="110"/>
      <c r="AB37" s="109"/>
    </row>
    <row r="38" spans="1:28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228"/>
      <c r="L38" s="88"/>
      <c r="M38" s="88"/>
      <c r="N38" s="98"/>
      <c r="O38" s="94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99"/>
      <c r="AA38" s="110"/>
      <c r="AB38" s="109"/>
    </row>
    <row r="39" spans="1:28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228"/>
      <c r="L39" s="88"/>
      <c r="M39" s="88"/>
      <c r="N39" s="98"/>
      <c r="O39" s="94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99"/>
      <c r="AA39" s="110"/>
      <c r="AB39" s="109"/>
    </row>
    <row r="40" spans="1:28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228"/>
      <c r="L40" s="88"/>
      <c r="M40" s="88"/>
      <c r="N40" s="98"/>
      <c r="O40" s="94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99"/>
      <c r="AA40" s="110"/>
      <c r="AB40" s="109"/>
    </row>
    <row r="41" spans="1:28">
      <c r="A41" s="87"/>
      <c r="B41" s="96"/>
      <c r="C41" s="96"/>
      <c r="D41" s="96"/>
      <c r="E41" s="96"/>
      <c r="F41" s="96"/>
      <c r="G41" s="96"/>
      <c r="H41" s="96"/>
      <c r="I41" s="96"/>
      <c r="J41" s="96"/>
      <c r="K41" s="228"/>
      <c r="L41" s="96"/>
      <c r="M41" s="96"/>
      <c r="N41" s="99"/>
      <c r="O41" s="94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9"/>
      <c r="AA41" s="110"/>
      <c r="AB41" s="86"/>
    </row>
    <row r="42" spans="1:28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228"/>
      <c r="L42" s="88"/>
      <c r="M42" s="88"/>
      <c r="N42" s="98"/>
      <c r="O42" s="94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99"/>
      <c r="AA42" s="110"/>
      <c r="AB42" s="109"/>
    </row>
    <row r="43" spans="1:28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228"/>
      <c r="L43" s="88"/>
      <c r="M43" s="88"/>
      <c r="N43" s="98"/>
      <c r="O43" s="94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99"/>
      <c r="AA43" s="110"/>
      <c r="AB43" s="109"/>
    </row>
    <row r="44" spans="1:28">
      <c r="A44" s="87"/>
      <c r="B44" s="110"/>
      <c r="C44" s="110"/>
      <c r="D44" s="110"/>
      <c r="E44" s="110"/>
      <c r="F44" s="110"/>
      <c r="G44" s="110"/>
      <c r="H44" s="110"/>
      <c r="I44" s="110"/>
      <c r="J44" s="110"/>
      <c r="K44" s="230"/>
      <c r="L44" s="110"/>
      <c r="M44" s="110"/>
      <c r="N44" s="102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03"/>
      <c r="AA44" s="110"/>
      <c r="AB44" s="86"/>
    </row>
    <row r="45" spans="1:28">
      <c r="A45" s="92"/>
      <c r="B45" s="110"/>
      <c r="C45" s="110"/>
      <c r="D45" s="110"/>
      <c r="E45" s="110"/>
      <c r="F45" s="110"/>
      <c r="G45" s="110"/>
      <c r="H45" s="110"/>
      <c r="I45" s="110"/>
      <c r="J45" s="110"/>
      <c r="K45" s="23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86"/>
    </row>
    <row r="46" spans="1:28">
      <c r="A46" s="92"/>
      <c r="B46" s="86"/>
      <c r="C46" s="86"/>
      <c r="D46" s="86"/>
      <c r="E46" s="86"/>
      <c r="F46" s="86"/>
      <c r="G46" s="86"/>
      <c r="H46" s="86"/>
      <c r="I46" s="86"/>
      <c r="J46" s="86"/>
      <c r="K46" s="231"/>
      <c r="L46" s="86"/>
      <c r="M46" s="86"/>
      <c r="N46" s="110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1:28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232"/>
      <c r="L47" s="93"/>
      <c r="M47" s="93"/>
      <c r="N47" s="100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</row>
    <row r="48" spans="1:28">
      <c r="A48" s="92"/>
      <c r="B48" s="93"/>
      <c r="C48" s="93"/>
      <c r="D48" s="93"/>
      <c r="E48" s="93"/>
      <c r="F48" s="93"/>
      <c r="G48" s="93"/>
      <c r="H48" s="93"/>
      <c r="I48" s="93"/>
      <c r="J48" s="93"/>
      <c r="K48" s="232"/>
      <c r="L48" s="93"/>
      <c r="M48" s="93"/>
      <c r="N48" s="100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</row>
    <row r="49" spans="1:28">
      <c r="A49" s="92"/>
      <c r="B49" s="93"/>
      <c r="C49" s="93"/>
      <c r="D49" s="93"/>
      <c r="E49" s="93"/>
      <c r="F49" s="93"/>
      <c r="G49" s="93"/>
      <c r="H49" s="93"/>
      <c r="I49" s="93"/>
      <c r="J49" s="93"/>
      <c r="K49" s="232"/>
      <c r="L49" s="93"/>
      <c r="M49" s="93"/>
      <c r="N49" s="100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1:28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232"/>
      <c r="L50" s="93"/>
      <c r="M50" s="93"/>
      <c r="N50" s="100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</row>
    <row r="51" spans="1:28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233"/>
      <c r="L51" s="93"/>
      <c r="M51" s="93"/>
      <c r="N51" s="100"/>
      <c r="O51" s="93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2"/>
      <c r="AA51" s="92"/>
      <c r="AB51" s="93"/>
    </row>
    <row r="52" spans="1:28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233"/>
      <c r="L52" s="93"/>
      <c r="M52" s="93"/>
      <c r="N52" s="100"/>
      <c r="O52" s="93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2"/>
      <c r="AA52" s="92"/>
      <c r="AB52" s="93"/>
    </row>
    <row r="53" spans="1:28">
      <c r="A53" s="92"/>
      <c r="N53" s="42"/>
    </row>
    <row r="54" spans="1:28">
      <c r="N54" s="42"/>
    </row>
    <row r="55" spans="1:28">
      <c r="N55" s="42"/>
    </row>
    <row r="56" spans="1:28">
      <c r="N56" s="42"/>
    </row>
    <row r="57" spans="1:28">
      <c r="N57" s="42"/>
    </row>
    <row r="58" spans="1:28">
      <c r="N58" s="42"/>
    </row>
    <row r="59" spans="1:28">
      <c r="N59" s="42"/>
    </row>
    <row r="60" spans="1:28">
      <c r="N60" s="42"/>
    </row>
    <row r="61" spans="1:28">
      <c r="N61" s="42"/>
    </row>
    <row r="62" spans="1:28">
      <c r="N62" s="42"/>
    </row>
    <row r="63" spans="1:28">
      <c r="N63" s="42"/>
    </row>
    <row r="64" spans="1:28">
      <c r="N64" s="42"/>
    </row>
    <row r="65" spans="14:14">
      <c r="N65" s="42"/>
    </row>
    <row r="66" spans="14:14">
      <c r="N66" s="42"/>
    </row>
    <row r="67" spans="14:14">
      <c r="N67" s="42"/>
    </row>
    <row r="68" spans="14:14">
      <c r="N68" s="42"/>
    </row>
    <row r="69" spans="14:14">
      <c r="N69" s="42"/>
    </row>
    <row r="70" spans="14:14">
      <c r="N70" s="42"/>
    </row>
    <row r="71" spans="14:14">
      <c r="N71" s="42"/>
    </row>
    <row r="72" spans="14:14">
      <c r="N72" s="42"/>
    </row>
    <row r="73" spans="14:14">
      <c r="N73" s="42"/>
    </row>
    <row r="74" spans="14:14">
      <c r="N74" s="42"/>
    </row>
    <row r="75" spans="14:14">
      <c r="N75" s="42"/>
    </row>
    <row r="76" spans="14:14">
      <c r="N76" s="42"/>
    </row>
    <row r="77" spans="14:14">
      <c r="N77" s="42"/>
    </row>
    <row r="78" spans="14:14">
      <c r="N78" s="42"/>
    </row>
    <row r="79" spans="14:14">
      <c r="N79" s="42"/>
    </row>
    <row r="80" spans="14:14">
      <c r="N80" s="42"/>
    </row>
    <row r="81" spans="14:14">
      <c r="N81" s="42"/>
    </row>
    <row r="82" spans="14:14">
      <c r="N82" s="42"/>
    </row>
    <row r="83" spans="14:14">
      <c r="N83" s="42"/>
    </row>
    <row r="84" spans="14:14">
      <c r="N84" s="42"/>
    </row>
    <row r="85" spans="14:14">
      <c r="N85" s="42"/>
    </row>
    <row r="86" spans="14:14">
      <c r="N86" s="42"/>
    </row>
  </sheetData>
  <phoneticPr fontId="23" type="noConversion"/>
  <pageMargins left="0.75" right="0.75" top="1" bottom="1" header="0.5" footer="0.5"/>
  <pageSetup scale="7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B4" sqref="B4"/>
    </sheetView>
  </sheetViews>
  <sheetFormatPr defaultColWidth="8.88671875" defaultRowHeight="13.2"/>
  <cols>
    <col min="1" max="1" width="40.44140625" customWidth="1"/>
    <col min="2" max="2" width="17.6640625" bestFit="1" customWidth="1"/>
    <col min="3" max="3" width="14.6640625" style="141" customWidth="1"/>
    <col min="4" max="4" width="8.88671875" style="3"/>
  </cols>
  <sheetData>
    <row r="1" spans="1:5" ht="17.399999999999999">
      <c r="A1" s="7" t="s">
        <v>174</v>
      </c>
      <c r="B1" s="6"/>
      <c r="C1" s="203"/>
      <c r="D1" s="18"/>
      <c r="E1" s="6"/>
    </row>
    <row r="2" spans="1:5">
      <c r="A2" s="177"/>
      <c r="B2" s="10"/>
      <c r="C2" s="203"/>
      <c r="D2" s="214"/>
      <c r="E2" s="6"/>
    </row>
    <row r="3" spans="1:5">
      <c r="A3" s="12"/>
      <c r="B3" s="15" t="s">
        <v>17</v>
      </c>
      <c r="C3" s="55" t="s">
        <v>14</v>
      </c>
      <c r="D3" s="214"/>
      <c r="E3" s="214"/>
    </row>
    <row r="4" spans="1:5" ht="14.4">
      <c r="A4" s="410" t="s">
        <v>162</v>
      </c>
      <c r="B4" s="240" t="s">
        <v>241</v>
      </c>
      <c r="C4" s="408">
        <f>IF(B4="fail",0,50)</f>
        <v>0</v>
      </c>
      <c r="D4" s="214" t="s">
        <v>240</v>
      </c>
      <c r="E4" s="6"/>
    </row>
    <row r="5" spans="1:5" ht="14.4">
      <c r="A5" s="410" t="s">
        <v>161</v>
      </c>
      <c r="B5" s="240" t="s">
        <v>241</v>
      </c>
      <c r="C5" s="408">
        <f t="shared" ref="C5" si="0">IF(B5="fail",0,50)</f>
        <v>0</v>
      </c>
      <c r="D5" s="214"/>
      <c r="E5" s="6"/>
    </row>
  </sheetData>
  <phoneticPr fontId="23" type="noConversion"/>
  <printOptions gridLines="1"/>
  <pageMargins left="0.75" right="0.75" top="1" bottom="1" header="0.5" footer="0.5"/>
  <pageSetup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15"/>
  <sheetViews>
    <sheetView workbookViewId="0">
      <selection activeCell="E6" sqref="E6"/>
    </sheetView>
  </sheetViews>
  <sheetFormatPr defaultColWidth="8.88671875" defaultRowHeight="13.2"/>
  <cols>
    <col min="1" max="1" width="38.21875" customWidth="1"/>
    <col min="2" max="2" width="10" customWidth="1"/>
    <col min="3" max="3" width="10.33203125" customWidth="1"/>
    <col min="4" max="4" width="10.33203125" style="431" customWidth="1"/>
    <col min="5" max="5" width="13.44140625" customWidth="1"/>
    <col min="6" max="6" width="10.109375" customWidth="1"/>
    <col min="7" max="7" width="10" customWidth="1"/>
    <col min="8" max="8" width="11" customWidth="1"/>
    <col min="9" max="9" width="48" customWidth="1"/>
    <col min="10" max="11" width="10" customWidth="1"/>
  </cols>
  <sheetData>
    <row r="1" spans="1:13" ht="17.399999999999999">
      <c r="A1" s="384" t="s">
        <v>230</v>
      </c>
      <c r="B1" s="6"/>
      <c r="C1" s="6"/>
      <c r="D1" s="6"/>
      <c r="E1" s="6"/>
      <c r="F1" s="6"/>
      <c r="G1" s="6"/>
      <c r="H1" s="6"/>
      <c r="I1" s="6"/>
      <c r="J1" s="9"/>
      <c r="K1" s="6"/>
      <c r="L1" s="6"/>
      <c r="M1" s="6"/>
    </row>
    <row r="2" spans="1:13">
      <c r="A2" s="38"/>
      <c r="B2" s="6"/>
      <c r="E2" s="9" t="s">
        <v>28</v>
      </c>
      <c r="F2" s="67">
        <f>MAX(E6:E7)</f>
        <v>653</v>
      </c>
      <c r="G2" s="203" t="s">
        <v>236</v>
      </c>
      <c r="H2" s="6"/>
      <c r="I2" s="6"/>
      <c r="J2" s="9"/>
      <c r="K2" s="6"/>
      <c r="L2" s="6"/>
      <c r="M2" s="6"/>
    </row>
    <row r="3" spans="1:13">
      <c r="A3" s="175"/>
      <c r="B3" s="6"/>
      <c r="E3" s="9" t="s">
        <v>29</v>
      </c>
      <c r="F3" s="67">
        <f>MIN(E6:E7)</f>
        <v>0</v>
      </c>
      <c r="G3" s="203" t="s">
        <v>236</v>
      </c>
      <c r="H3" s="6"/>
      <c r="I3" s="6"/>
      <c r="J3" s="9"/>
      <c r="K3" s="6"/>
      <c r="L3" s="6"/>
      <c r="M3" s="6"/>
    </row>
    <row r="4" spans="1:13">
      <c r="A4" s="16"/>
      <c r="B4" s="16"/>
      <c r="C4" s="16"/>
      <c r="D4" s="16"/>
      <c r="E4" s="16"/>
      <c r="F4" s="6"/>
      <c r="G4" s="16"/>
      <c r="H4" s="16"/>
      <c r="I4" s="16"/>
      <c r="J4" s="24"/>
      <c r="K4" s="6"/>
      <c r="L4" s="6"/>
      <c r="M4" s="6"/>
    </row>
    <row r="5" spans="1:13" ht="30.75" customHeight="1">
      <c r="A5" s="76"/>
      <c r="B5" s="39" t="s">
        <v>233</v>
      </c>
      <c r="C5" s="39" t="s">
        <v>234</v>
      </c>
      <c r="D5" s="39" t="s">
        <v>235</v>
      </c>
      <c r="E5" s="39" t="s">
        <v>237</v>
      </c>
      <c r="F5" s="39" t="s">
        <v>9</v>
      </c>
      <c r="G5" s="23" t="s">
        <v>22</v>
      </c>
      <c r="H5" s="23"/>
      <c r="I5" s="400" t="s">
        <v>71</v>
      </c>
      <c r="J5" s="14"/>
      <c r="K5" s="13"/>
      <c r="L5" s="5"/>
      <c r="M5" s="6"/>
    </row>
    <row r="6" spans="1:13" ht="14.4">
      <c r="A6" s="410" t="s">
        <v>162</v>
      </c>
      <c r="B6" s="385"/>
      <c r="C6" s="390"/>
      <c r="D6" s="390"/>
      <c r="E6" s="432">
        <f>MAX(B6:C6)</f>
        <v>0</v>
      </c>
      <c r="F6" s="57">
        <v>0</v>
      </c>
      <c r="G6" s="126">
        <f>RANK(F6,$F$6:$F$7)</f>
        <v>2</v>
      </c>
      <c r="H6" s="52"/>
      <c r="I6" s="202"/>
      <c r="J6" s="26"/>
      <c r="K6" s="27"/>
      <c r="L6" s="18"/>
      <c r="M6" s="6"/>
    </row>
    <row r="7" spans="1:13" ht="14.4">
      <c r="A7" s="410" t="s">
        <v>161</v>
      </c>
      <c r="B7" s="430">
        <v>653</v>
      </c>
      <c r="C7" s="362">
        <v>577</v>
      </c>
      <c r="D7" s="362">
        <v>645</v>
      </c>
      <c r="E7" s="432">
        <f>MAX(B7:C7)</f>
        <v>653</v>
      </c>
      <c r="F7" s="57">
        <v>100</v>
      </c>
      <c r="G7" s="126">
        <f>RANK(F7,$F$6:$F$7)</f>
        <v>1</v>
      </c>
      <c r="H7" s="75"/>
      <c r="I7" s="401"/>
      <c r="J7" s="26"/>
      <c r="K7" s="27"/>
      <c r="L7" s="18"/>
      <c r="M7" s="6"/>
    </row>
    <row r="8" spans="1:13">
      <c r="B8" s="128"/>
    </row>
    <row r="10" spans="1:13">
      <c r="E10" s="259" t="s">
        <v>123</v>
      </c>
      <c r="F10" s="259"/>
    </row>
    <row r="11" spans="1:13">
      <c r="E11" s="259" t="s">
        <v>120</v>
      </c>
      <c r="F11" s="268">
        <f>75/(F2-F3)</f>
        <v>0.11485451761102604</v>
      </c>
    </row>
    <row r="12" spans="1:13">
      <c r="E12" s="259" t="s">
        <v>121</v>
      </c>
      <c r="F12" s="211">
        <v>100</v>
      </c>
    </row>
    <row r="14" spans="1:13">
      <c r="E14" s="259" t="s">
        <v>238</v>
      </c>
      <c r="F14">
        <v>5</v>
      </c>
    </row>
    <row r="15" spans="1:13">
      <c r="E15" s="259" t="s">
        <v>239</v>
      </c>
      <c r="F15">
        <v>100</v>
      </c>
    </row>
  </sheetData>
  <phoneticPr fontId="23" type="noConversion"/>
  <printOptions gridLines="1"/>
  <pageMargins left="0.75" right="0.75" top="1" bottom="1" header="0.5" footer="0.5"/>
  <pageSetup scale="8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18"/>
  <sheetViews>
    <sheetView zoomScaleNormal="100" zoomScalePageLayoutView="125" workbookViewId="0"/>
  </sheetViews>
  <sheetFormatPr defaultColWidth="8.88671875" defaultRowHeight="13.2"/>
  <cols>
    <col min="1" max="1" width="40" customWidth="1"/>
    <col min="2" max="2" width="12.44140625" customWidth="1"/>
    <col min="3" max="3" width="12.6640625" style="3" customWidth="1"/>
    <col min="4" max="4" width="12.33203125" customWidth="1"/>
    <col min="5" max="5" width="14" customWidth="1"/>
    <col min="6" max="6" width="10.6640625" customWidth="1"/>
    <col min="7" max="7" width="9.88671875" customWidth="1"/>
    <col min="8" max="8" width="15.6640625" style="141" customWidth="1"/>
    <col min="9" max="9" width="13.44140625" customWidth="1"/>
    <col min="10" max="10" width="5.44140625" style="141" bestFit="1" customWidth="1"/>
    <col min="11" max="11" width="24" customWidth="1"/>
  </cols>
  <sheetData>
    <row r="1" spans="1:11" ht="17.399999999999999">
      <c r="A1" s="7" t="s">
        <v>175</v>
      </c>
      <c r="B1" s="7"/>
      <c r="C1" s="18"/>
      <c r="D1" s="6"/>
      <c r="E1" s="6"/>
      <c r="F1" s="6"/>
      <c r="G1" s="6"/>
      <c r="H1" s="203"/>
      <c r="I1" s="6"/>
      <c r="J1" s="203"/>
      <c r="K1" s="6"/>
    </row>
    <row r="2" spans="1:11">
      <c r="A2" s="24"/>
      <c r="B2" s="24"/>
      <c r="C2" s="52"/>
      <c r="D2" s="24"/>
      <c r="E2" s="24"/>
      <c r="F2" s="24"/>
      <c r="G2" s="24"/>
      <c r="H2" s="215"/>
      <c r="I2" s="24"/>
      <c r="J2" s="203"/>
      <c r="K2" s="6"/>
    </row>
    <row r="3" spans="1:11" s="133" customFormat="1" ht="39.6">
      <c r="A3" s="132"/>
      <c r="B3" s="39" t="s">
        <v>34</v>
      </c>
      <c r="C3" s="39" t="s">
        <v>7</v>
      </c>
      <c r="D3" s="39" t="s">
        <v>53</v>
      </c>
      <c r="E3" s="39" t="s">
        <v>45</v>
      </c>
      <c r="F3" s="39" t="s">
        <v>72</v>
      </c>
      <c r="G3" s="39" t="s">
        <v>8</v>
      </c>
      <c r="H3" s="193" t="s">
        <v>54</v>
      </c>
      <c r="I3" s="39" t="s">
        <v>55</v>
      </c>
      <c r="J3" s="36" t="s">
        <v>52</v>
      </c>
      <c r="K3" s="39" t="s">
        <v>42</v>
      </c>
    </row>
    <row r="4" spans="1:11" s="321" customFormat="1" ht="14.4">
      <c r="A4" s="410" t="s">
        <v>162</v>
      </c>
      <c r="B4" s="240"/>
      <c r="C4" s="240"/>
      <c r="D4" s="240"/>
      <c r="E4" s="240"/>
      <c r="F4" s="240"/>
      <c r="G4" s="240"/>
      <c r="H4" s="240"/>
      <c r="I4" s="318"/>
      <c r="J4" s="319">
        <f t="shared" ref="J4:J5" si="0">SUM(B4:I4)</f>
        <v>0</v>
      </c>
      <c r="K4" s="320"/>
    </row>
    <row r="5" spans="1:11" s="321" customFormat="1" ht="14.4">
      <c r="A5" s="410" t="s">
        <v>161</v>
      </c>
      <c r="B5" s="240"/>
      <c r="C5" s="240"/>
      <c r="D5" s="240"/>
      <c r="E5" s="240"/>
      <c r="F5" s="240"/>
      <c r="G5" s="240"/>
      <c r="H5" s="240"/>
      <c r="I5" s="240"/>
      <c r="J5" s="319">
        <f t="shared" si="0"/>
        <v>0</v>
      </c>
      <c r="K5" s="320"/>
    </row>
    <row r="6" spans="1:11" ht="15">
      <c r="A6" s="22"/>
      <c r="B6" s="22"/>
      <c r="C6" s="235"/>
      <c r="D6" s="49"/>
      <c r="E6" s="49"/>
      <c r="F6" s="40"/>
      <c r="G6" s="52"/>
      <c r="H6" s="213"/>
      <c r="I6" s="29"/>
      <c r="J6" s="203"/>
      <c r="K6" s="6"/>
    </row>
    <row r="7" spans="1:11" ht="15">
      <c r="A7" s="22"/>
      <c r="B7" s="22"/>
      <c r="C7" s="235"/>
      <c r="D7" s="49"/>
      <c r="E7" s="49"/>
      <c r="F7" s="40"/>
      <c r="G7" s="202"/>
      <c r="H7" s="213"/>
      <c r="I7" s="29"/>
      <c r="J7" s="203"/>
      <c r="K7" s="6"/>
    </row>
    <row r="8" spans="1:11" ht="15">
      <c r="A8" s="22"/>
      <c r="B8" s="22"/>
      <c r="C8" s="235"/>
      <c r="D8" s="49"/>
      <c r="E8" s="49"/>
      <c r="F8" s="40"/>
      <c r="G8" s="52"/>
      <c r="H8" s="213"/>
      <c r="I8" s="29"/>
      <c r="J8" s="203"/>
      <c r="K8" s="6"/>
    </row>
    <row r="9" spans="1:11" ht="15">
      <c r="A9" s="22"/>
      <c r="B9" s="22"/>
      <c r="C9" s="235"/>
      <c r="D9" s="49"/>
      <c r="E9" s="49"/>
      <c r="F9" s="40"/>
      <c r="G9" s="52"/>
      <c r="H9" s="213"/>
      <c r="I9" s="29"/>
      <c r="J9" s="203"/>
      <c r="K9" s="6"/>
    </row>
    <row r="10" spans="1:11" ht="15">
      <c r="A10" s="22"/>
      <c r="B10" s="22"/>
      <c r="C10" s="235"/>
      <c r="D10" s="49"/>
      <c r="E10" s="49"/>
      <c r="F10" s="40"/>
      <c r="G10" s="52"/>
      <c r="H10" s="213"/>
      <c r="I10" s="29"/>
      <c r="J10" s="203"/>
      <c r="K10" s="6"/>
    </row>
    <row r="11" spans="1:11" ht="15">
      <c r="A11" s="22"/>
      <c r="B11" s="22"/>
      <c r="C11" s="235"/>
      <c r="D11" s="49"/>
      <c r="E11" s="49"/>
      <c r="F11" s="40"/>
      <c r="G11" s="52"/>
      <c r="H11" s="213"/>
      <c r="I11" s="29"/>
      <c r="J11" s="203"/>
      <c r="K11" s="6"/>
    </row>
    <row r="12" spans="1:11" ht="15">
      <c r="A12" s="22"/>
      <c r="B12" s="22"/>
      <c r="C12" s="235"/>
      <c r="D12" s="49"/>
      <c r="E12" s="49"/>
      <c r="F12" s="40"/>
      <c r="G12" s="52"/>
      <c r="H12" s="213"/>
      <c r="I12" s="29"/>
      <c r="J12" s="203"/>
      <c r="K12" s="6"/>
    </row>
    <row r="13" spans="1:11">
      <c r="A13" s="22"/>
      <c r="B13" s="22"/>
      <c r="C13" s="235"/>
      <c r="D13" s="49"/>
      <c r="E13" s="49"/>
      <c r="F13" s="40"/>
      <c r="G13" s="52"/>
      <c r="H13" s="213"/>
      <c r="I13" s="24"/>
      <c r="J13" s="203"/>
      <c r="K13" s="6"/>
    </row>
    <row r="14" spans="1:11" ht="15">
      <c r="A14" s="22"/>
      <c r="B14" s="22"/>
      <c r="C14" s="235"/>
      <c r="D14" s="49"/>
      <c r="E14" s="49"/>
      <c r="F14" s="40"/>
      <c r="G14" s="52"/>
      <c r="H14" s="213"/>
      <c r="I14" s="29"/>
      <c r="J14" s="203"/>
      <c r="K14" s="6"/>
    </row>
    <row r="15" spans="1:11">
      <c r="A15" s="22"/>
      <c r="B15" s="22"/>
      <c r="C15" s="236"/>
      <c r="D15" s="50"/>
      <c r="E15" s="50"/>
      <c r="F15" s="40"/>
      <c r="G15" s="52"/>
      <c r="H15" s="213"/>
      <c r="I15" s="1"/>
    </row>
    <row r="16" spans="1:11">
      <c r="A16" s="1"/>
      <c r="B16" s="1"/>
      <c r="C16" s="60"/>
      <c r="D16" s="1"/>
      <c r="E16" s="1"/>
      <c r="F16" s="24"/>
      <c r="G16" s="1"/>
      <c r="H16" s="216"/>
      <c r="I16" s="1"/>
    </row>
    <row r="17" spans="1:9">
      <c r="A17" s="1"/>
      <c r="B17" s="1"/>
      <c r="C17" s="60"/>
      <c r="D17" s="1"/>
      <c r="E17" s="1"/>
      <c r="F17" s="1"/>
      <c r="G17" s="1"/>
      <c r="H17" s="216"/>
      <c r="I17" s="1"/>
    </row>
    <row r="18" spans="1:9">
      <c r="A18" s="1"/>
      <c r="B18" s="1"/>
      <c r="C18" s="60"/>
      <c r="D18" s="1"/>
      <c r="E18" s="1"/>
      <c r="F18" s="1"/>
      <c r="G18" s="1"/>
      <c r="H18" s="216"/>
      <c r="I18" s="1"/>
    </row>
  </sheetData>
  <phoneticPr fontId="23" type="noConversion"/>
  <printOptions gridLines="1"/>
  <pageMargins left="0.75" right="0.75" top="1" bottom="1" header="0.5" footer="0.5"/>
  <pageSetup scale="62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E9" sqref="E9"/>
    </sheetView>
  </sheetViews>
  <sheetFormatPr defaultColWidth="8.88671875" defaultRowHeight="13.2"/>
  <cols>
    <col min="1" max="1" width="41.44140625" customWidth="1"/>
    <col min="2" max="5" width="10.33203125" customWidth="1"/>
    <col min="7" max="7" width="10.44140625" customWidth="1"/>
    <col min="9" max="9" width="10.109375" customWidth="1"/>
  </cols>
  <sheetData>
    <row r="1" spans="1:21" ht="17.399999999999999">
      <c r="A1" s="45" t="s">
        <v>176</v>
      </c>
      <c r="B1" s="31"/>
      <c r="C1" s="31"/>
      <c r="D1" s="31"/>
      <c r="E1" s="31" t="s">
        <v>50</v>
      </c>
      <c r="F1" s="32">
        <f>MAX(E4:E5)</f>
        <v>794</v>
      </c>
      <c r="G1" s="31" t="s">
        <v>51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176" t="s">
        <v>107</v>
      </c>
      <c r="B2" s="31"/>
      <c r="C2" s="31"/>
      <c r="D2" s="31"/>
      <c r="E2" s="31" t="s">
        <v>49</v>
      </c>
      <c r="F2" s="32">
        <f>MIN(E4:E104)</f>
        <v>675</v>
      </c>
      <c r="G2" s="31" t="s">
        <v>51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B3" s="122" t="s">
        <v>46</v>
      </c>
      <c r="C3" s="122" t="s">
        <v>47</v>
      </c>
      <c r="D3" s="122" t="s">
        <v>48</v>
      </c>
      <c r="E3" s="44" t="s">
        <v>19</v>
      </c>
      <c r="G3" s="39"/>
      <c r="H3" s="2" t="s">
        <v>22</v>
      </c>
    </row>
    <row r="4" spans="1:21" ht="14.4">
      <c r="A4" s="410" t="s">
        <v>162</v>
      </c>
      <c r="B4" s="350">
        <v>182</v>
      </c>
      <c r="C4" s="351">
        <v>188</v>
      </c>
      <c r="D4" s="351">
        <v>305</v>
      </c>
      <c r="E4" s="196">
        <f>+B4+C4+D4</f>
        <v>675</v>
      </c>
      <c r="F4" s="130"/>
      <c r="G4" s="17"/>
      <c r="H4" s="17">
        <f>RANK($E4,$E$4:$E$5)</f>
        <v>2</v>
      </c>
    </row>
    <row r="5" spans="1:21" ht="14.4">
      <c r="A5" s="410" t="s">
        <v>161</v>
      </c>
      <c r="B5" s="352">
        <v>214</v>
      </c>
      <c r="C5" s="353">
        <v>197</v>
      </c>
      <c r="D5" s="353">
        <v>383</v>
      </c>
      <c r="E5" s="196">
        <f t="shared" ref="E5" si="0">+B5+C5+D5</f>
        <v>794</v>
      </c>
      <c r="F5" s="130"/>
      <c r="G5" s="17"/>
      <c r="H5" s="17">
        <f>RANK($E5,$E$4:$E$5)</f>
        <v>1</v>
      </c>
      <c r="I5" s="341"/>
    </row>
    <row r="6" spans="1:21">
      <c r="E6" s="61"/>
    </row>
    <row r="7" spans="1:21">
      <c r="E7" s="61"/>
    </row>
    <row r="8" spans="1:21">
      <c r="E8" s="61"/>
    </row>
    <row r="9" spans="1:21">
      <c r="E9" s="61"/>
    </row>
    <row r="10" spans="1:21">
      <c r="E10" s="61"/>
    </row>
    <row r="11" spans="1:21">
      <c r="E11" s="61"/>
    </row>
    <row r="12" spans="1:21">
      <c r="E12" s="61"/>
    </row>
    <row r="13" spans="1:21">
      <c r="E13" s="61"/>
    </row>
    <row r="14" spans="1:21">
      <c r="E14" s="61"/>
    </row>
    <row r="15" spans="1:21">
      <c r="E15" s="61"/>
    </row>
    <row r="16" spans="1:21">
      <c r="E16" s="61"/>
    </row>
  </sheetData>
  <phoneticPr fontId="23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71"/>
  <sheetViews>
    <sheetView zoomScale="85" zoomScaleNormal="85" zoomScalePageLayoutView="85" workbookViewId="0">
      <pane ySplit="2" topLeftCell="A3" activePane="bottomLeft" state="frozen"/>
      <selection pane="bottomLeft" activeCell="C25" sqref="C25"/>
    </sheetView>
  </sheetViews>
  <sheetFormatPr defaultColWidth="9.109375" defaultRowHeight="13.2"/>
  <cols>
    <col min="1" max="1" width="14.5546875" style="137" customWidth="1"/>
    <col min="2" max="2" width="15.33203125" style="65" customWidth="1"/>
    <col min="3" max="3" width="37.21875" style="137" customWidth="1"/>
    <col min="4" max="4" width="30.6640625" style="137" customWidth="1"/>
    <col min="5" max="5" width="7.44140625" style="154" customWidth="1"/>
    <col min="6" max="6" width="3" style="154" customWidth="1"/>
    <col min="7" max="7" width="2.6640625" style="65" customWidth="1"/>
    <col min="8" max="16384" width="9.109375" style="65"/>
  </cols>
  <sheetData>
    <row r="1" spans="1:8" s="403" customFormat="1" ht="17.399999999999999">
      <c r="A1" s="276" t="s">
        <v>164</v>
      </c>
      <c r="C1" s="137"/>
      <c r="D1" s="137"/>
    </row>
    <row r="2" spans="1:8" ht="27">
      <c r="A2" s="406" t="s">
        <v>160</v>
      </c>
      <c r="B2" s="406" t="s">
        <v>178</v>
      </c>
      <c r="C2" s="417" t="s">
        <v>162</v>
      </c>
      <c r="D2" s="417" t="s">
        <v>161</v>
      </c>
      <c r="E2" s="199"/>
      <c r="F2" s="199"/>
      <c r="G2" s="141"/>
      <c r="H2" s="141"/>
    </row>
    <row r="3" spans="1:8" s="285" customFormat="1">
      <c r="A3" s="402">
        <v>1</v>
      </c>
      <c r="B3" s="405" t="s">
        <v>177</v>
      </c>
      <c r="C3" s="360">
        <v>54</v>
      </c>
      <c r="D3" s="360">
        <v>49</v>
      </c>
      <c r="E3" s="284">
        <f t="shared" ref="E3:E34" si="0">COUNTA(C3:D3)</f>
        <v>2</v>
      </c>
      <c r="F3" s="284"/>
    </row>
    <row r="4" spans="1:8">
      <c r="A4" s="402">
        <f>A3+1</f>
        <v>2</v>
      </c>
      <c r="B4" s="287" t="s">
        <v>179</v>
      </c>
      <c r="C4" s="327">
        <v>75</v>
      </c>
      <c r="D4" s="327">
        <v>79</v>
      </c>
      <c r="E4" s="284">
        <f t="shared" si="0"/>
        <v>2</v>
      </c>
      <c r="F4" s="199"/>
      <c r="G4" s="141"/>
      <c r="H4" s="141"/>
    </row>
    <row r="5" spans="1:8">
      <c r="A5" s="402">
        <f t="shared" ref="A5:A62" si="1">A4+1</f>
        <v>3</v>
      </c>
      <c r="B5" s="287" t="s">
        <v>180</v>
      </c>
      <c r="C5" s="327">
        <v>70</v>
      </c>
      <c r="D5" s="327">
        <v>68</v>
      </c>
      <c r="E5" s="284">
        <f t="shared" si="0"/>
        <v>2</v>
      </c>
    </row>
    <row r="6" spans="1:8">
      <c r="A6" s="402">
        <f t="shared" si="1"/>
        <v>4</v>
      </c>
      <c r="B6" s="287" t="s">
        <v>181</v>
      </c>
      <c r="C6" s="327"/>
      <c r="D6" s="327">
        <v>68</v>
      </c>
      <c r="E6" s="284">
        <f t="shared" si="0"/>
        <v>1</v>
      </c>
      <c r="F6" s="260"/>
      <c r="G6" s="259"/>
      <c r="H6" s="259"/>
    </row>
    <row r="7" spans="1:8">
      <c r="A7" s="402">
        <f t="shared" si="1"/>
        <v>5</v>
      </c>
      <c r="B7" s="287" t="s">
        <v>182</v>
      </c>
      <c r="C7" s="420">
        <v>69</v>
      </c>
      <c r="D7" s="420">
        <v>83</v>
      </c>
      <c r="E7" s="284">
        <f t="shared" si="0"/>
        <v>2</v>
      </c>
      <c r="F7" s="199"/>
      <c r="G7" s="141"/>
      <c r="H7" s="176"/>
    </row>
    <row r="8" spans="1:8" s="141" customFormat="1">
      <c r="A8" s="402">
        <f t="shared" si="1"/>
        <v>6</v>
      </c>
      <c r="B8" s="287" t="s">
        <v>183</v>
      </c>
      <c r="C8" s="327"/>
      <c r="D8" s="420">
        <v>90</v>
      </c>
      <c r="E8" s="284">
        <f t="shared" si="0"/>
        <v>1</v>
      </c>
      <c r="F8" s="199"/>
    </row>
    <row r="9" spans="1:8">
      <c r="A9" s="402">
        <f t="shared" si="1"/>
        <v>7</v>
      </c>
      <c r="B9" s="421" t="s">
        <v>184</v>
      </c>
      <c r="C9" s="327">
        <v>79</v>
      </c>
      <c r="D9" s="327">
        <v>85</v>
      </c>
      <c r="E9" s="284">
        <f t="shared" si="0"/>
        <v>2</v>
      </c>
      <c r="F9" s="199"/>
      <c r="G9" s="141"/>
      <c r="H9" s="141"/>
    </row>
    <row r="10" spans="1:8">
      <c r="A10" s="402">
        <f t="shared" si="1"/>
        <v>8</v>
      </c>
      <c r="B10" s="287" t="s">
        <v>185</v>
      </c>
      <c r="C10" s="327">
        <v>87</v>
      </c>
      <c r="D10" s="327"/>
      <c r="E10" s="284">
        <f t="shared" si="0"/>
        <v>1</v>
      </c>
      <c r="F10" s="199"/>
      <c r="G10" s="259"/>
      <c r="H10" s="259"/>
    </row>
    <row r="11" spans="1:8">
      <c r="A11" s="402">
        <f t="shared" si="1"/>
        <v>9</v>
      </c>
      <c r="B11" s="287" t="s">
        <v>186</v>
      </c>
      <c r="C11" s="327">
        <v>88</v>
      </c>
      <c r="D11" s="327">
        <v>75</v>
      </c>
      <c r="E11" s="284">
        <f t="shared" si="0"/>
        <v>2</v>
      </c>
      <c r="F11" s="199"/>
      <c r="G11" s="141"/>
      <c r="H11" s="141"/>
    </row>
    <row r="12" spans="1:8">
      <c r="A12" s="402">
        <f t="shared" si="1"/>
        <v>10</v>
      </c>
      <c r="B12" s="288" t="s">
        <v>187</v>
      </c>
      <c r="C12" s="420">
        <v>68</v>
      </c>
      <c r="D12" s="327"/>
      <c r="E12" s="284">
        <f t="shared" si="0"/>
        <v>1</v>
      </c>
      <c r="F12" s="199"/>
      <c r="G12" s="259"/>
      <c r="H12" s="259"/>
    </row>
    <row r="13" spans="1:8">
      <c r="A13" s="402">
        <f t="shared" si="1"/>
        <v>11</v>
      </c>
      <c r="B13" s="288" t="s">
        <v>188</v>
      </c>
      <c r="C13" s="327">
        <v>61</v>
      </c>
      <c r="D13" s="327">
        <v>66</v>
      </c>
      <c r="E13" s="284">
        <f t="shared" si="0"/>
        <v>2</v>
      </c>
      <c r="F13" s="199"/>
      <c r="G13" s="259"/>
      <c r="H13" s="259"/>
    </row>
    <row r="14" spans="1:8">
      <c r="A14" s="402">
        <f t="shared" si="1"/>
        <v>12</v>
      </c>
      <c r="B14" s="288" t="s">
        <v>177</v>
      </c>
      <c r="C14" s="327">
        <v>54</v>
      </c>
      <c r="D14" s="327">
        <v>49</v>
      </c>
      <c r="E14" s="284">
        <f t="shared" si="0"/>
        <v>2</v>
      </c>
      <c r="F14" s="199"/>
      <c r="G14" s="141"/>
      <c r="H14" s="141"/>
    </row>
    <row r="15" spans="1:8">
      <c r="A15" s="402">
        <f t="shared" si="1"/>
        <v>13</v>
      </c>
      <c r="B15" s="287" t="s">
        <v>189</v>
      </c>
      <c r="C15" s="327"/>
      <c r="D15" s="327">
        <v>93</v>
      </c>
      <c r="E15" s="284">
        <f t="shared" si="0"/>
        <v>1</v>
      </c>
      <c r="F15" s="199"/>
      <c r="G15" s="141"/>
      <c r="H15" s="141"/>
    </row>
    <row r="16" spans="1:8">
      <c r="A16" s="402">
        <f t="shared" si="1"/>
        <v>14</v>
      </c>
      <c r="B16" s="287" t="s">
        <v>190</v>
      </c>
      <c r="C16" s="327">
        <v>68</v>
      </c>
      <c r="D16" s="327">
        <v>70</v>
      </c>
      <c r="E16" s="284">
        <f t="shared" si="0"/>
        <v>2</v>
      </c>
      <c r="F16" s="199"/>
      <c r="G16" s="141"/>
      <c r="H16" s="141"/>
    </row>
    <row r="17" spans="1:9">
      <c r="A17" s="402">
        <f t="shared" si="1"/>
        <v>15</v>
      </c>
      <c r="B17" s="288" t="s">
        <v>191</v>
      </c>
      <c r="C17" s="327">
        <v>66</v>
      </c>
      <c r="D17" s="327">
        <v>68</v>
      </c>
      <c r="E17" s="284">
        <f t="shared" si="0"/>
        <v>2</v>
      </c>
      <c r="F17" s="199"/>
      <c r="G17" s="141"/>
      <c r="H17" s="141"/>
    </row>
    <row r="18" spans="1:9">
      <c r="A18" s="402">
        <f t="shared" si="1"/>
        <v>16</v>
      </c>
      <c r="B18" s="288" t="s">
        <v>192</v>
      </c>
      <c r="C18" s="327">
        <v>78</v>
      </c>
      <c r="D18" s="327">
        <v>82</v>
      </c>
      <c r="E18" s="284">
        <f t="shared" si="0"/>
        <v>2</v>
      </c>
      <c r="F18" s="199"/>
      <c r="G18" s="141"/>
      <c r="H18" s="141"/>
    </row>
    <row r="19" spans="1:9">
      <c r="A19" s="402">
        <f t="shared" si="1"/>
        <v>17</v>
      </c>
      <c r="B19" s="287" t="s">
        <v>193</v>
      </c>
      <c r="C19" s="418">
        <v>87</v>
      </c>
      <c r="D19" s="418"/>
      <c r="E19" s="284">
        <f t="shared" si="0"/>
        <v>1</v>
      </c>
      <c r="F19" s="199"/>
      <c r="G19" s="141"/>
      <c r="H19" s="141"/>
    </row>
    <row r="20" spans="1:9">
      <c r="A20" s="402">
        <f t="shared" si="1"/>
        <v>18</v>
      </c>
      <c r="B20" s="287" t="s">
        <v>194</v>
      </c>
      <c r="C20" s="327">
        <v>70</v>
      </c>
      <c r="D20" s="327">
        <v>63</v>
      </c>
      <c r="E20" s="284">
        <f t="shared" si="0"/>
        <v>2</v>
      </c>
      <c r="F20" s="199"/>
      <c r="G20" s="141"/>
      <c r="H20" s="141"/>
    </row>
    <row r="21" spans="1:9">
      <c r="A21" s="402">
        <f t="shared" si="1"/>
        <v>19</v>
      </c>
      <c r="B21" s="287" t="s">
        <v>195</v>
      </c>
      <c r="C21" s="327">
        <v>75</v>
      </c>
      <c r="D21" s="327">
        <v>60</v>
      </c>
      <c r="E21" s="284">
        <f t="shared" si="0"/>
        <v>2</v>
      </c>
      <c r="F21" s="199"/>
      <c r="G21" s="259"/>
      <c r="H21" s="259"/>
    </row>
    <row r="22" spans="1:9">
      <c r="A22" s="402">
        <f t="shared" si="1"/>
        <v>20</v>
      </c>
      <c r="B22" s="287" t="s">
        <v>196</v>
      </c>
      <c r="C22" s="327">
        <v>88</v>
      </c>
      <c r="D22" s="419"/>
      <c r="E22" s="284">
        <f t="shared" si="0"/>
        <v>1</v>
      </c>
      <c r="F22" s="199"/>
      <c r="G22" s="259"/>
      <c r="H22" s="259"/>
    </row>
    <row r="23" spans="1:9">
      <c r="A23" s="402">
        <f t="shared" si="1"/>
        <v>21</v>
      </c>
      <c r="B23" s="288" t="s">
        <v>198</v>
      </c>
      <c r="C23" s="327">
        <v>72</v>
      </c>
      <c r="D23" s="327"/>
      <c r="E23" s="284">
        <f t="shared" si="0"/>
        <v>1</v>
      </c>
    </row>
    <row r="24" spans="1:9">
      <c r="A24" s="402">
        <f t="shared" si="1"/>
        <v>22</v>
      </c>
      <c r="B24" s="287"/>
      <c r="C24" s="327"/>
      <c r="D24" s="327"/>
      <c r="E24" s="284">
        <f t="shared" si="0"/>
        <v>0</v>
      </c>
      <c r="F24" s="199"/>
      <c r="G24" s="259"/>
      <c r="H24" s="259"/>
    </row>
    <row r="25" spans="1:9">
      <c r="A25" s="402">
        <f t="shared" si="1"/>
        <v>23</v>
      </c>
      <c r="B25" s="287"/>
      <c r="C25" s="327"/>
      <c r="D25" s="327"/>
      <c r="E25" s="284">
        <f t="shared" si="0"/>
        <v>0</v>
      </c>
    </row>
    <row r="26" spans="1:9">
      <c r="A26" s="402">
        <f t="shared" si="1"/>
        <v>24</v>
      </c>
      <c r="B26" s="288"/>
      <c r="C26" s="327"/>
      <c r="D26" s="327"/>
      <c r="E26" s="284">
        <f t="shared" si="0"/>
        <v>0</v>
      </c>
      <c r="F26" s="199"/>
      <c r="G26" s="141"/>
      <c r="H26" s="141"/>
    </row>
    <row r="27" spans="1:9">
      <c r="A27" s="402">
        <f t="shared" si="1"/>
        <v>25</v>
      </c>
      <c r="B27" s="288"/>
      <c r="C27" s="327"/>
      <c r="D27" s="327"/>
      <c r="E27" s="284">
        <f t="shared" si="0"/>
        <v>0</v>
      </c>
      <c r="F27" s="199"/>
      <c r="G27" s="141"/>
      <c r="H27" s="141"/>
    </row>
    <row r="28" spans="1:9">
      <c r="A28" s="402">
        <f t="shared" si="1"/>
        <v>26</v>
      </c>
      <c r="B28" s="287"/>
      <c r="C28" s="327"/>
      <c r="D28" s="327"/>
      <c r="E28" s="284">
        <f t="shared" si="0"/>
        <v>0</v>
      </c>
      <c r="F28" s="199"/>
      <c r="G28" s="141"/>
      <c r="H28" s="141"/>
    </row>
    <row r="29" spans="1:9">
      <c r="A29" s="402">
        <f t="shared" si="1"/>
        <v>27</v>
      </c>
      <c r="B29" s="287"/>
      <c r="C29" s="327"/>
      <c r="D29" s="327"/>
      <c r="E29" s="284">
        <f t="shared" si="0"/>
        <v>0</v>
      </c>
    </row>
    <row r="30" spans="1:9">
      <c r="A30" s="402">
        <f t="shared" si="1"/>
        <v>28</v>
      </c>
      <c r="B30" s="287"/>
      <c r="C30" s="327"/>
      <c r="D30" s="327"/>
      <c r="E30" s="284">
        <f t="shared" si="0"/>
        <v>0</v>
      </c>
      <c r="F30" s="199"/>
      <c r="G30" s="141"/>
      <c r="H30" s="141"/>
    </row>
    <row r="31" spans="1:9">
      <c r="A31" s="402">
        <f t="shared" si="1"/>
        <v>29</v>
      </c>
      <c r="B31" s="287"/>
      <c r="C31" s="327"/>
      <c r="D31" s="327"/>
      <c r="E31" s="284">
        <f t="shared" si="0"/>
        <v>0</v>
      </c>
      <c r="F31" s="199"/>
      <c r="G31" s="141"/>
      <c r="H31" s="141"/>
      <c r="I31" s="212"/>
    </row>
    <row r="32" spans="1:9">
      <c r="A32" s="402">
        <f t="shared" si="1"/>
        <v>30</v>
      </c>
      <c r="B32" s="287"/>
      <c r="C32" s="327"/>
      <c r="D32" s="327"/>
      <c r="E32" s="284">
        <f t="shared" si="0"/>
        <v>0</v>
      </c>
      <c r="F32" s="199"/>
      <c r="G32" s="259"/>
      <c r="H32" s="259"/>
      <c r="I32" s="212"/>
    </row>
    <row r="33" spans="1:6">
      <c r="A33" s="402">
        <f t="shared" si="1"/>
        <v>31</v>
      </c>
      <c r="B33" s="288"/>
      <c r="C33" s="327"/>
      <c r="D33" s="327"/>
      <c r="E33" s="284">
        <f t="shared" si="0"/>
        <v>0</v>
      </c>
    </row>
    <row r="34" spans="1:6">
      <c r="A34" s="402">
        <f t="shared" si="1"/>
        <v>32</v>
      </c>
      <c r="B34" s="287"/>
      <c r="C34" s="327"/>
      <c r="D34" s="327"/>
      <c r="E34" s="284">
        <f t="shared" si="0"/>
        <v>0</v>
      </c>
    </row>
    <row r="35" spans="1:6">
      <c r="A35" s="402">
        <f t="shared" si="1"/>
        <v>33</v>
      </c>
      <c r="B35" s="288"/>
      <c r="C35" s="327"/>
      <c r="D35" s="327"/>
      <c r="E35" s="284">
        <f t="shared" ref="E35:E65" si="2">COUNTA(C35:D35)</f>
        <v>0</v>
      </c>
    </row>
    <row r="36" spans="1:6">
      <c r="A36" s="402">
        <f t="shared" si="1"/>
        <v>34</v>
      </c>
      <c r="B36" s="288"/>
      <c r="C36" s="327"/>
      <c r="D36" s="327"/>
      <c r="E36" s="284">
        <f t="shared" si="2"/>
        <v>0</v>
      </c>
    </row>
    <row r="37" spans="1:6">
      <c r="A37" s="402">
        <f t="shared" si="1"/>
        <v>35</v>
      </c>
      <c r="B37" s="288"/>
      <c r="C37" s="327"/>
      <c r="D37" s="327"/>
      <c r="E37" s="284">
        <f t="shared" si="2"/>
        <v>0</v>
      </c>
    </row>
    <row r="38" spans="1:6">
      <c r="A38" s="402">
        <f t="shared" si="1"/>
        <v>36</v>
      </c>
      <c r="B38" s="288"/>
      <c r="C38" s="327"/>
      <c r="D38" s="327"/>
      <c r="E38" s="284">
        <f t="shared" si="2"/>
        <v>0</v>
      </c>
    </row>
    <row r="39" spans="1:6">
      <c r="A39" s="402">
        <f t="shared" si="1"/>
        <v>37</v>
      </c>
      <c r="B39" s="287"/>
      <c r="C39" s="327"/>
      <c r="D39" s="327"/>
      <c r="E39" s="284">
        <f t="shared" si="2"/>
        <v>0</v>
      </c>
    </row>
    <row r="40" spans="1:6">
      <c r="A40" s="402">
        <f t="shared" si="1"/>
        <v>38</v>
      </c>
      <c r="B40" s="288"/>
      <c r="C40" s="327"/>
      <c r="D40" s="327"/>
      <c r="E40" s="284">
        <f t="shared" si="2"/>
        <v>0</v>
      </c>
    </row>
    <row r="41" spans="1:6" s="285" customFormat="1">
      <c r="A41" s="402">
        <f t="shared" si="1"/>
        <v>39</v>
      </c>
      <c r="B41" s="286"/>
      <c r="C41" s="327"/>
      <c r="D41" s="327"/>
      <c r="E41" s="284">
        <f t="shared" si="2"/>
        <v>0</v>
      </c>
      <c r="F41" s="284"/>
    </row>
    <row r="42" spans="1:6">
      <c r="A42" s="402">
        <f t="shared" si="1"/>
        <v>40</v>
      </c>
      <c r="B42" s="288"/>
      <c r="C42" s="327"/>
      <c r="D42" s="327"/>
      <c r="E42" s="284">
        <f t="shared" si="2"/>
        <v>0</v>
      </c>
    </row>
    <row r="43" spans="1:6">
      <c r="A43" s="402">
        <f t="shared" si="1"/>
        <v>41</v>
      </c>
      <c r="B43" s="287"/>
      <c r="C43" s="327"/>
      <c r="D43" s="327"/>
      <c r="E43" s="284">
        <f t="shared" si="2"/>
        <v>0</v>
      </c>
    </row>
    <row r="44" spans="1:6">
      <c r="A44" s="402">
        <f t="shared" si="1"/>
        <v>42</v>
      </c>
      <c r="B44" s="287"/>
      <c r="C44" s="327"/>
      <c r="D44" s="327"/>
      <c r="E44" s="284">
        <f t="shared" si="2"/>
        <v>0</v>
      </c>
    </row>
    <row r="45" spans="1:6">
      <c r="A45" s="402">
        <f t="shared" si="1"/>
        <v>43</v>
      </c>
      <c r="B45" s="287"/>
      <c r="C45" s="327"/>
      <c r="D45" s="327"/>
      <c r="E45" s="284">
        <f t="shared" si="2"/>
        <v>0</v>
      </c>
    </row>
    <row r="46" spans="1:6">
      <c r="A46" s="402">
        <f t="shared" si="1"/>
        <v>44</v>
      </c>
      <c r="B46" s="287"/>
      <c r="C46" s="327"/>
      <c r="D46" s="327"/>
      <c r="E46" s="284">
        <f t="shared" si="2"/>
        <v>0</v>
      </c>
    </row>
    <row r="47" spans="1:6" s="259" customFormat="1">
      <c r="A47" s="402">
        <f t="shared" si="1"/>
        <v>45</v>
      </c>
      <c r="B47" s="287"/>
      <c r="C47" s="327"/>
      <c r="D47" s="327"/>
      <c r="E47" s="284">
        <f t="shared" si="2"/>
        <v>0</v>
      </c>
      <c r="F47" s="199"/>
    </row>
    <row r="48" spans="1:6">
      <c r="A48" s="402">
        <f t="shared" si="1"/>
        <v>46</v>
      </c>
      <c r="B48" s="287"/>
      <c r="C48" s="327"/>
      <c r="D48" s="327"/>
      <c r="E48" s="284">
        <f t="shared" si="2"/>
        <v>0</v>
      </c>
    </row>
    <row r="49" spans="1:5">
      <c r="A49" s="402">
        <f t="shared" si="1"/>
        <v>47</v>
      </c>
      <c r="B49" s="287"/>
      <c r="C49" s="327"/>
      <c r="D49" s="327"/>
      <c r="E49" s="284">
        <f t="shared" si="2"/>
        <v>0</v>
      </c>
    </row>
    <row r="50" spans="1:5">
      <c r="A50" s="402">
        <f t="shared" si="1"/>
        <v>48</v>
      </c>
      <c r="B50" s="287"/>
      <c r="C50" s="327"/>
      <c r="D50" s="327"/>
      <c r="E50" s="284">
        <f t="shared" si="2"/>
        <v>0</v>
      </c>
    </row>
    <row r="51" spans="1:5">
      <c r="A51" s="402">
        <f t="shared" si="1"/>
        <v>49</v>
      </c>
      <c r="B51" s="287"/>
      <c r="C51" s="327"/>
      <c r="D51" s="327"/>
      <c r="E51" s="284">
        <f t="shared" si="2"/>
        <v>0</v>
      </c>
    </row>
    <row r="52" spans="1:5">
      <c r="A52" s="402">
        <f t="shared" si="1"/>
        <v>50</v>
      </c>
      <c r="B52" s="288"/>
      <c r="C52" s="327"/>
      <c r="D52" s="327"/>
      <c r="E52" s="284">
        <f t="shared" si="2"/>
        <v>0</v>
      </c>
    </row>
    <row r="53" spans="1:5">
      <c r="A53" s="402">
        <f t="shared" si="1"/>
        <v>51</v>
      </c>
      <c r="B53" s="288"/>
      <c r="C53" s="327"/>
      <c r="D53" s="327"/>
      <c r="E53" s="284">
        <f t="shared" si="2"/>
        <v>0</v>
      </c>
    </row>
    <row r="54" spans="1:5">
      <c r="A54" s="402">
        <f t="shared" si="1"/>
        <v>52</v>
      </c>
      <c r="B54" s="287"/>
      <c r="C54" s="327"/>
      <c r="D54" s="327"/>
      <c r="E54" s="284">
        <f t="shared" si="2"/>
        <v>0</v>
      </c>
    </row>
    <row r="55" spans="1:5">
      <c r="A55" s="402">
        <f t="shared" si="1"/>
        <v>53</v>
      </c>
      <c r="B55" s="288"/>
      <c r="C55" s="327"/>
      <c r="D55" s="327"/>
      <c r="E55" s="284">
        <f t="shared" si="2"/>
        <v>0</v>
      </c>
    </row>
    <row r="56" spans="1:5">
      <c r="A56" s="402">
        <f t="shared" si="1"/>
        <v>54</v>
      </c>
      <c r="B56" s="287"/>
      <c r="C56" s="327"/>
      <c r="D56" s="327"/>
      <c r="E56" s="284">
        <f t="shared" si="2"/>
        <v>0</v>
      </c>
    </row>
    <row r="57" spans="1:5">
      <c r="A57" s="402">
        <f t="shared" si="1"/>
        <v>55</v>
      </c>
      <c r="B57" s="287"/>
      <c r="C57" s="327"/>
      <c r="D57" s="327"/>
      <c r="E57" s="284">
        <f t="shared" si="2"/>
        <v>0</v>
      </c>
    </row>
    <row r="58" spans="1:5">
      <c r="A58" s="402">
        <f t="shared" si="1"/>
        <v>56</v>
      </c>
      <c r="B58" s="288"/>
      <c r="C58" s="327"/>
      <c r="D58" s="327"/>
      <c r="E58" s="284">
        <f t="shared" si="2"/>
        <v>0</v>
      </c>
    </row>
    <row r="59" spans="1:5">
      <c r="A59" s="402">
        <f t="shared" si="1"/>
        <v>57</v>
      </c>
      <c r="B59" s="288"/>
      <c r="C59" s="327"/>
      <c r="D59" s="327"/>
      <c r="E59" s="284">
        <f t="shared" si="2"/>
        <v>0</v>
      </c>
    </row>
    <row r="60" spans="1:5">
      <c r="A60" s="402">
        <f t="shared" si="1"/>
        <v>58</v>
      </c>
      <c r="B60" s="288"/>
      <c r="C60" s="327"/>
      <c r="D60" s="327"/>
      <c r="E60" s="284">
        <f t="shared" si="2"/>
        <v>0</v>
      </c>
    </row>
    <row r="61" spans="1:5">
      <c r="A61" s="402">
        <f t="shared" si="1"/>
        <v>59</v>
      </c>
      <c r="B61" s="288"/>
      <c r="C61" s="327"/>
      <c r="D61" s="327"/>
      <c r="E61" s="284">
        <f t="shared" si="2"/>
        <v>0</v>
      </c>
    </row>
    <row r="62" spans="1:5">
      <c r="A62" s="402">
        <f t="shared" si="1"/>
        <v>60</v>
      </c>
      <c r="B62" s="288"/>
      <c r="C62" s="418"/>
      <c r="D62" s="418"/>
      <c r="E62" s="284">
        <f t="shared" si="2"/>
        <v>0</v>
      </c>
    </row>
    <row r="63" spans="1:5">
      <c r="A63" s="327">
        <v>61</v>
      </c>
      <c r="B63" s="288"/>
      <c r="C63" s="419"/>
      <c r="D63" s="419"/>
      <c r="E63" s="284">
        <f t="shared" si="2"/>
        <v>0</v>
      </c>
    </row>
    <row r="64" spans="1:5">
      <c r="A64" s="327"/>
      <c r="B64" s="288"/>
      <c r="C64" s="418"/>
      <c r="D64" s="419"/>
      <c r="E64" s="284">
        <f t="shared" si="2"/>
        <v>0</v>
      </c>
    </row>
    <row r="65" spans="1:8">
      <c r="A65" s="327"/>
      <c r="B65" s="288"/>
      <c r="C65" s="419"/>
      <c r="D65" s="418"/>
      <c r="E65" s="284">
        <f t="shared" si="2"/>
        <v>0</v>
      </c>
    </row>
    <row r="67" spans="1:8">
      <c r="A67" s="260" t="s">
        <v>60</v>
      </c>
      <c r="C67" s="289">
        <f t="shared" ref="C67:D67" si="3">AVERAGE(C3:C66)</f>
        <v>72.722222222222229</v>
      </c>
      <c r="D67" s="289">
        <f t="shared" si="3"/>
        <v>71.75</v>
      </c>
    </row>
    <row r="68" spans="1:8">
      <c r="A68" s="260" t="s">
        <v>44</v>
      </c>
      <c r="C68" s="289">
        <f>IF(C67&lt;5, 5,C67)</f>
        <v>72.722222222222229</v>
      </c>
      <c r="D68" s="289">
        <f t="shared" ref="D68" si="4">IF(D67&lt;5, 5,D67)</f>
        <v>71.75</v>
      </c>
    </row>
    <row r="69" spans="1:8">
      <c r="H69" s="259" t="s">
        <v>125</v>
      </c>
    </row>
    <row r="70" spans="1:8">
      <c r="A70" s="260" t="s">
        <v>150</v>
      </c>
      <c r="C70" s="137">
        <f>COUNTA(C3:C65)</f>
        <v>18</v>
      </c>
      <c r="D70" s="137">
        <f t="shared" ref="D70" si="5">COUNTA(D3:D65)</f>
        <v>16</v>
      </c>
      <c r="H70" s="259" t="s">
        <v>126</v>
      </c>
    </row>
    <row r="71" spans="1:8">
      <c r="B71" s="260" t="s">
        <v>155</v>
      </c>
      <c r="C71" s="260">
        <f>RANK(C68,$C$68:$D$68)</f>
        <v>1</v>
      </c>
      <c r="D71" s="260">
        <f>RANK(D68,$C$68:$D$68)</f>
        <v>2</v>
      </c>
    </row>
  </sheetData>
  <phoneticPr fontId="23" type="noConversion"/>
  <hyperlinks>
    <hyperlink ref="B9" r:id="rId1"/>
  </hyperlinks>
  <printOptions gridLines="1"/>
  <pageMargins left="0.75" right="0.75" top="1" bottom="1" header="0.5" footer="0.5"/>
  <pageSetup scale="50" orientation="landscape" horizontalDpi="300" verticalDpi="300" r:id="rId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14"/>
  <sheetViews>
    <sheetView zoomScale="75" workbookViewId="0">
      <selection activeCell="B11" sqref="B11"/>
    </sheetView>
  </sheetViews>
  <sheetFormatPr defaultColWidth="8.88671875" defaultRowHeight="13.2"/>
  <cols>
    <col min="1" max="1" width="50.88671875" customWidth="1"/>
  </cols>
  <sheetData>
    <row r="1" spans="1:3" ht="17.399999999999999">
      <c r="A1" s="7" t="s">
        <v>165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14.4">
      <c r="A5" s="410" t="s">
        <v>162</v>
      </c>
      <c r="B5" s="328">
        <v>50</v>
      </c>
    </row>
    <row r="6" spans="1:3" ht="14.4">
      <c r="A6" s="410" t="s">
        <v>161</v>
      </c>
      <c r="B6" s="328">
        <v>50</v>
      </c>
    </row>
    <row r="7" spans="1:3" ht="14.4">
      <c r="A7" s="317"/>
      <c r="B7" s="322" t="s">
        <v>39</v>
      </c>
    </row>
    <row r="8" spans="1:3">
      <c r="B8" s="259" t="s">
        <v>133</v>
      </c>
    </row>
    <row r="9" spans="1:3">
      <c r="A9" s="22"/>
    </row>
    <row r="10" spans="1:3">
      <c r="A10" s="22"/>
    </row>
    <row r="11" spans="1:3">
      <c r="A11" s="22"/>
    </row>
    <row r="12" spans="1:3">
      <c r="A12" s="22"/>
    </row>
    <row r="13" spans="1:3">
      <c r="A13" s="22"/>
    </row>
    <row r="14" spans="1:3">
      <c r="A14" s="22"/>
    </row>
  </sheetData>
  <phoneticPr fontId="23" type="noConversion"/>
  <printOptions gridLines="1"/>
  <pageMargins left="0.75" right="0.75" top="1" bottom="1" header="0.5" footer="0.5"/>
  <pageSetup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24"/>
  <sheetViews>
    <sheetView workbookViewId="0">
      <selection activeCell="I14" sqref="I14"/>
    </sheetView>
  </sheetViews>
  <sheetFormatPr defaultColWidth="8.88671875" defaultRowHeight="13.2"/>
  <cols>
    <col min="1" max="1" width="25.44140625" customWidth="1"/>
    <col min="2" max="2" width="11.44140625" bestFit="1" customWidth="1"/>
    <col min="3" max="3" width="12.44140625" customWidth="1"/>
    <col min="4" max="4" width="9.109375" hidden="1" customWidth="1"/>
    <col min="5" max="5" width="8.88671875" style="176"/>
    <col min="7" max="7" width="16.44140625" hidden="1" customWidth="1"/>
    <col min="8" max="8" width="11.44140625" customWidth="1"/>
    <col min="9" max="9" width="13.44140625" customWidth="1"/>
    <col min="10" max="10" width="13.109375" customWidth="1"/>
  </cols>
  <sheetData>
    <row r="1" spans="1:13" ht="17.399999999999999">
      <c r="A1" s="7" t="s">
        <v>166</v>
      </c>
      <c r="B1" s="6"/>
      <c r="C1" s="6"/>
      <c r="D1" s="6"/>
    </row>
    <row r="2" spans="1:13" s="65" customFormat="1">
      <c r="A2" s="38"/>
      <c r="B2" s="38"/>
      <c r="C2" s="38"/>
      <c r="D2" s="38"/>
      <c r="E2" s="176"/>
    </row>
    <row r="3" spans="1:13" s="65" customFormat="1">
      <c r="A3" s="38"/>
      <c r="B3" s="66"/>
      <c r="C3" s="80"/>
      <c r="D3" s="38"/>
      <c r="E3" s="176"/>
    </row>
    <row r="4" spans="1:13" s="65" customFormat="1">
      <c r="A4" s="38"/>
      <c r="B4" s="66"/>
      <c r="C4" s="80"/>
      <c r="D4" s="38"/>
      <c r="E4" s="176"/>
    </row>
    <row r="5" spans="1:13" s="65" customFormat="1" ht="17.399999999999999">
      <c r="A5" s="24"/>
      <c r="B5" s="24"/>
      <c r="C5" s="24"/>
      <c r="D5" s="38"/>
      <c r="E5" s="176"/>
      <c r="H5" s="264"/>
    </row>
    <row r="6" spans="1:13" ht="52.8">
      <c r="A6" s="124" t="s">
        <v>106</v>
      </c>
      <c r="B6" s="124"/>
      <c r="C6" s="124" t="s">
        <v>59</v>
      </c>
      <c r="D6" s="124"/>
      <c r="E6" s="221" t="s">
        <v>127</v>
      </c>
      <c r="F6" s="221"/>
      <c r="G6" s="221"/>
      <c r="H6" s="221" t="s">
        <v>103</v>
      </c>
      <c r="I6" s="221" t="s">
        <v>104</v>
      </c>
      <c r="J6" s="221" t="s">
        <v>105</v>
      </c>
      <c r="K6" s="221"/>
      <c r="L6" s="221" t="s">
        <v>130</v>
      </c>
      <c r="M6" s="221" t="s">
        <v>22</v>
      </c>
    </row>
    <row r="7" spans="1:13" ht="16.8">
      <c r="A7" s="410" t="s">
        <v>162</v>
      </c>
      <c r="C7" s="424">
        <v>10685.5</v>
      </c>
      <c r="D7" s="217"/>
      <c r="E7" s="268">
        <f>-($B$14*C7)+$B$15</f>
        <v>19.999999999999996</v>
      </c>
      <c r="F7" s="53"/>
      <c r="H7" s="425">
        <v>10</v>
      </c>
      <c r="I7" s="426">
        <v>10</v>
      </c>
      <c r="J7" s="429">
        <v>10</v>
      </c>
      <c r="K7" s="53"/>
      <c r="L7" s="212">
        <f>IF(SUM(E7:J7)&lt;2.5,2.5,SUM(E7:J7))</f>
        <v>50</v>
      </c>
      <c r="M7" s="210">
        <f>RANK(L7,$L$7:$L$9)</f>
        <v>1</v>
      </c>
    </row>
    <row r="8" spans="1:13" ht="16.8">
      <c r="A8" s="410" t="s">
        <v>161</v>
      </c>
      <c r="C8" s="424">
        <v>19151</v>
      </c>
      <c r="D8" s="218"/>
      <c r="E8" s="268">
        <f>-($B$14*C8)+$B$15</f>
        <v>0</v>
      </c>
      <c r="F8" s="53"/>
      <c r="H8" s="427">
        <v>7</v>
      </c>
      <c r="I8" s="428">
        <v>6</v>
      </c>
      <c r="J8" s="429">
        <v>1</v>
      </c>
      <c r="K8" s="53"/>
      <c r="L8" s="212">
        <f t="shared" ref="L8" si="0">IF(SUM(E8:J8)&lt;2.5,2.5,SUM(E8:J8))</f>
        <v>14</v>
      </c>
      <c r="M8" s="210">
        <f>RANK(L8,$L$7:$L$9)</f>
        <v>2</v>
      </c>
    </row>
    <row r="9" spans="1:13" ht="18">
      <c r="A9" s="404"/>
      <c r="C9" s="220"/>
      <c r="D9" s="219"/>
      <c r="E9" s="268"/>
      <c r="F9" s="53"/>
      <c r="H9" s="360"/>
      <c r="I9" s="361"/>
      <c r="J9" s="362"/>
      <c r="K9" s="53"/>
      <c r="L9" s="212"/>
      <c r="M9" s="210"/>
    </row>
    <row r="10" spans="1:13" ht="14.4">
      <c r="A10" s="238"/>
      <c r="B10" s="57"/>
      <c r="C10" s="260"/>
      <c r="D10" s="6"/>
      <c r="M10" s="265"/>
    </row>
    <row r="11" spans="1:13" ht="14.4">
      <c r="A11" s="269" t="s">
        <v>112</v>
      </c>
      <c r="B11" s="57"/>
      <c r="C11" s="162"/>
      <c r="D11" s="6"/>
      <c r="L11" s="259" t="s">
        <v>132</v>
      </c>
    </row>
    <row r="12" spans="1:13">
      <c r="A12" s="123" t="s">
        <v>113</v>
      </c>
      <c r="B12" s="40"/>
      <c r="C12" s="52"/>
      <c r="D12" s="6"/>
    </row>
    <row r="13" spans="1:13">
      <c r="A13" s="123" t="s">
        <v>114</v>
      </c>
      <c r="B13" s="40"/>
      <c r="C13" s="52"/>
      <c r="D13" s="6"/>
    </row>
    <row r="14" spans="1:13">
      <c r="A14" s="123" t="s">
        <v>115</v>
      </c>
      <c r="B14" s="246">
        <f>20/(B17-B16)</f>
        <v>2.3625302699190835E-3</v>
      </c>
      <c r="C14" s="52"/>
      <c r="D14" s="6"/>
    </row>
    <row r="15" spans="1:13">
      <c r="A15" s="123" t="s">
        <v>116</v>
      </c>
      <c r="B15" s="40">
        <f>20+(B14*B16)</f>
        <v>45.244817199220364</v>
      </c>
      <c r="C15" s="52"/>
      <c r="D15" s="6"/>
    </row>
    <row r="16" spans="1:13">
      <c r="A16" s="123" t="s">
        <v>65</v>
      </c>
      <c r="B16" s="244">
        <f>MIN(C7:C9)</f>
        <v>10685.5</v>
      </c>
      <c r="C16" s="52"/>
      <c r="D16" s="6"/>
    </row>
    <row r="17" spans="1:8">
      <c r="A17" s="49" t="s">
        <v>117</v>
      </c>
      <c r="B17" s="245">
        <f>MAX(C7:C9)</f>
        <v>19151</v>
      </c>
      <c r="C17" s="52"/>
      <c r="D17" s="6"/>
    </row>
    <row r="18" spans="1:8">
      <c r="A18" s="49" t="s">
        <v>118</v>
      </c>
      <c r="B18" s="243">
        <v>20</v>
      </c>
      <c r="C18" s="52"/>
      <c r="D18" s="6"/>
    </row>
    <row r="19" spans="1:8">
      <c r="A19" s="49"/>
      <c r="B19" s="40"/>
      <c r="C19" s="52"/>
      <c r="D19" s="6"/>
    </row>
    <row r="20" spans="1:8">
      <c r="A20" s="267" t="s">
        <v>129</v>
      </c>
      <c r="B20" s="40"/>
      <c r="C20" s="52"/>
      <c r="D20" s="6"/>
      <c r="H20" s="259" t="s">
        <v>128</v>
      </c>
    </row>
    <row r="21" spans="1:8">
      <c r="A21" s="50"/>
      <c r="B21" s="40"/>
      <c r="C21" s="52"/>
    </row>
    <row r="22" spans="1:8">
      <c r="A22" s="1"/>
      <c r="B22" s="24"/>
      <c r="C22" s="1"/>
    </row>
    <row r="23" spans="1:8">
      <c r="A23" s="1"/>
      <c r="B23" s="1"/>
      <c r="C23" s="1"/>
    </row>
    <row r="24" spans="1:8">
      <c r="A24" s="1"/>
      <c r="B24" s="1"/>
      <c r="C24" s="1"/>
    </row>
  </sheetData>
  <phoneticPr fontId="23" type="noConversion"/>
  <printOptions gridLines="1"/>
  <pageMargins left="0.75" right="0.75" top="1" bottom="1" header="0.5" footer="0.5"/>
  <pageSetup scale="77" orientation="landscape" horizontalDpi="4294967294" verticalDpi="20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26"/>
  <sheetViews>
    <sheetView zoomScale="80" zoomScaleNormal="80" workbookViewId="0"/>
  </sheetViews>
  <sheetFormatPr defaultColWidth="8.88671875" defaultRowHeight="13.2"/>
  <cols>
    <col min="1" max="1" width="42" customWidth="1"/>
    <col min="2" max="16" width="7.6640625" style="335" customWidth="1"/>
    <col min="17" max="17" width="10" style="3" bestFit="1" customWidth="1"/>
    <col min="18" max="18" width="7.44140625" style="3" customWidth="1"/>
    <col min="19" max="19" width="8.88671875" style="3" customWidth="1"/>
  </cols>
  <sheetData>
    <row r="1" spans="1:22" ht="17.399999999999999">
      <c r="A1" s="384" t="s">
        <v>168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1"/>
      <c r="R1" s="32"/>
      <c r="S1" s="31"/>
    </row>
    <row r="2" spans="1:22" ht="21">
      <c r="A2" s="201" t="s">
        <v>39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3"/>
      <c r="M2" s="332"/>
      <c r="N2" s="334"/>
      <c r="O2" s="332"/>
      <c r="P2" s="332"/>
      <c r="Q2" s="43"/>
      <c r="R2" s="148"/>
      <c r="S2" s="43"/>
      <c r="T2" s="259"/>
    </row>
    <row r="3" spans="1:22" s="3" customFormat="1">
      <c r="A3" s="138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44" t="s">
        <v>60</v>
      </c>
      <c r="R3" s="44" t="s">
        <v>44</v>
      </c>
      <c r="S3" s="46" t="s">
        <v>22</v>
      </c>
      <c r="T3" s="307"/>
      <c r="U3" s="307"/>
      <c r="V3" s="308"/>
    </row>
    <row r="4" spans="1:22" ht="14.4">
      <c r="A4" s="410" t="s">
        <v>162</v>
      </c>
      <c r="B4" s="350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222"/>
      <c r="Q4" s="306" t="e">
        <f>AVERAGE(B4:P4)</f>
        <v>#DIV/0!</v>
      </c>
      <c r="R4" s="266" t="e">
        <f>IF(Q4&lt;2.5,2.5,Q4)</f>
        <v>#DIV/0!</v>
      </c>
      <c r="S4" s="47" t="e">
        <f>RANK(R4,$R$4:$R$5)</f>
        <v>#DIV/0!</v>
      </c>
      <c r="T4" s="309"/>
      <c r="U4" s="309"/>
      <c r="V4" s="310"/>
    </row>
    <row r="5" spans="1:22" ht="14.4">
      <c r="A5" s="410" t="s">
        <v>161</v>
      </c>
      <c r="B5" s="352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222"/>
      <c r="Q5" s="306" t="e">
        <f t="shared" ref="Q5" si="0">AVERAGE(B5:P5)</f>
        <v>#DIV/0!</v>
      </c>
      <c r="R5" s="266" t="e">
        <f t="shared" ref="R5" si="1">IF(Q5&lt;2.5,2.5,Q5)</f>
        <v>#DIV/0!</v>
      </c>
      <c r="S5" s="47" t="e">
        <f>RANK(R5,$R$4:$R$5)</f>
        <v>#DIV/0!</v>
      </c>
      <c r="T5" s="309"/>
      <c r="U5" s="309"/>
      <c r="V5" s="310"/>
    </row>
    <row r="6" spans="1:22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331"/>
      <c r="M6" s="331"/>
      <c r="N6" s="331"/>
      <c r="O6" s="331"/>
      <c r="P6" s="331"/>
      <c r="Q6" s="42"/>
      <c r="R6" s="42"/>
      <c r="S6" s="42"/>
    </row>
    <row r="7" spans="1:22">
      <c r="R7" s="259" t="s">
        <v>131</v>
      </c>
    </row>
    <row r="9" spans="1:22">
      <c r="B9" s="260" t="s">
        <v>39</v>
      </c>
    </row>
    <row r="18" spans="2:11">
      <c r="B18" s="336"/>
      <c r="C18" s="336"/>
      <c r="D18" s="336"/>
      <c r="E18" s="336"/>
      <c r="F18" s="336"/>
      <c r="G18" s="336"/>
      <c r="H18" s="336"/>
      <c r="I18" s="336"/>
      <c r="J18" s="336"/>
      <c r="K18" s="336"/>
    </row>
    <row r="26" spans="2:11"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</sheetData>
  <phoneticPr fontId="23" type="noConversion"/>
  <printOptions gridLines="1"/>
  <pageMargins left="0.75" right="0.75" top="1" bottom="1" header="0.5" footer="0.5"/>
  <pageSetup scale="75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13"/>
  <sheetViews>
    <sheetView zoomScale="90" zoomScaleNormal="90" workbookViewId="0">
      <selection activeCell="D10" sqref="D10"/>
    </sheetView>
  </sheetViews>
  <sheetFormatPr defaultColWidth="8.88671875" defaultRowHeight="13.2"/>
  <cols>
    <col min="1" max="1" width="39.6640625" customWidth="1"/>
    <col min="2" max="2" width="15.21875" customWidth="1"/>
    <col min="3" max="3" width="13.88671875" style="305" bestFit="1" customWidth="1"/>
    <col min="4" max="4" width="10.109375" customWidth="1"/>
    <col min="5" max="5" width="12.44140625" customWidth="1"/>
    <col min="7" max="7" width="10.88671875" style="41" customWidth="1"/>
    <col min="8" max="8" width="8.88671875" style="3"/>
    <col min="9" max="9" width="41.88671875" customWidth="1"/>
  </cols>
  <sheetData>
    <row r="1" spans="1:16" ht="45">
      <c r="A1" s="7" t="s">
        <v>169</v>
      </c>
      <c r="E1" s="161"/>
      <c r="F1" s="161"/>
    </row>
    <row r="2" spans="1:16" ht="17.399999999999999">
      <c r="A2" s="7"/>
      <c r="B2" s="7"/>
      <c r="C2" s="356"/>
      <c r="D2" s="6" t="s">
        <v>0</v>
      </c>
      <c r="E2" s="120">
        <f>MAX(C10:C11)</f>
        <v>0</v>
      </c>
      <c r="F2" s="6" t="s">
        <v>11</v>
      </c>
      <c r="G2" s="354" t="s">
        <v>23</v>
      </c>
      <c r="I2" s="62"/>
    </row>
    <row r="3" spans="1:16">
      <c r="A3" s="6"/>
      <c r="B3" s="6"/>
      <c r="C3" s="67"/>
      <c r="D3" s="6" t="s">
        <v>1</v>
      </c>
      <c r="E3" s="120">
        <f>MIN(C10:C11)</f>
        <v>0</v>
      </c>
      <c r="F3" s="6" t="s">
        <v>11</v>
      </c>
      <c r="G3" s="354" t="s">
        <v>24</v>
      </c>
      <c r="I3" s="62"/>
    </row>
    <row r="4" spans="1:16">
      <c r="A4" s="10"/>
      <c r="B4" s="10"/>
      <c r="C4" s="357"/>
      <c r="D4" s="6" t="s">
        <v>13</v>
      </c>
      <c r="E4" s="208">
        <v>91.2</v>
      </c>
      <c r="F4" s="6" t="s">
        <v>12</v>
      </c>
      <c r="G4" s="354" t="s">
        <v>25</v>
      </c>
      <c r="I4" s="62"/>
    </row>
    <row r="5" spans="1:16">
      <c r="A5" s="10"/>
      <c r="B5" s="10"/>
      <c r="C5" s="357"/>
      <c r="D5" s="6" t="s">
        <v>119</v>
      </c>
      <c r="E5" s="208"/>
      <c r="F5" s="6"/>
      <c r="G5" s="354"/>
      <c r="I5" s="62"/>
    </row>
    <row r="6" spans="1:16">
      <c r="A6" s="10"/>
      <c r="B6" s="10"/>
      <c r="C6" s="357"/>
      <c r="D6" s="6" t="s">
        <v>120</v>
      </c>
      <c r="E6" s="208" t="e">
        <f>100/(E2-E3)</f>
        <v>#DIV/0!</v>
      </c>
      <c r="F6" s="6"/>
      <c r="G6" s="354"/>
      <c r="I6" s="62"/>
    </row>
    <row r="7" spans="1:16">
      <c r="A7" s="10"/>
      <c r="B7" s="10"/>
      <c r="C7" s="357"/>
      <c r="D7" s="6" t="s">
        <v>121</v>
      </c>
      <c r="E7" s="208" t="e">
        <f>(E6*E2)</f>
        <v>#DIV/0!</v>
      </c>
      <c r="F7" s="6"/>
      <c r="G7" s="354"/>
      <c r="I7" s="62"/>
    </row>
    <row r="8" spans="1:16">
      <c r="A8" s="12"/>
      <c r="B8" s="12"/>
      <c r="C8" s="120"/>
      <c r="D8" s="12"/>
      <c r="E8" s="6"/>
      <c r="F8" s="6"/>
      <c r="H8" s="18"/>
      <c r="I8" s="63"/>
      <c r="J8" s="63"/>
    </row>
    <row r="9" spans="1:16" ht="39.6">
      <c r="A9" s="11"/>
      <c r="B9" s="39" t="s">
        <v>33</v>
      </c>
      <c r="C9" s="358" t="s">
        <v>43</v>
      </c>
      <c r="D9" s="39" t="s">
        <v>10</v>
      </c>
      <c r="E9" s="36" t="s">
        <v>124</v>
      </c>
      <c r="F9" s="36" t="s">
        <v>22</v>
      </c>
      <c r="G9" s="134" t="s">
        <v>58</v>
      </c>
      <c r="H9" s="2" t="s">
        <v>134</v>
      </c>
      <c r="I9" s="39"/>
      <c r="J9" s="36"/>
      <c r="L9" s="133" t="s">
        <v>39</v>
      </c>
    </row>
    <row r="10" spans="1:16" ht="14.4">
      <c r="A10" s="410" t="s">
        <v>162</v>
      </c>
      <c r="B10" s="295" t="s">
        <v>157</v>
      </c>
      <c r="C10" s="329">
        <v>0</v>
      </c>
      <c r="D10" s="205" t="e">
        <f t="shared" ref="D10:D11" si="0">+G10/C10</f>
        <v>#DIV/0!</v>
      </c>
      <c r="E10" s="17" t="e">
        <f t="shared" ref="E10:E11" si="1">100-($E$6*C10)+$E$7</f>
        <v>#DIV/0!</v>
      </c>
      <c r="F10" s="260" t="e">
        <f>RANK($E10,$E$10:$E$11)</f>
        <v>#DIV/0!</v>
      </c>
      <c r="G10" s="291">
        <v>0</v>
      </c>
      <c r="H10" s="422" t="s">
        <v>197</v>
      </c>
      <c r="I10" s="355"/>
      <c r="J10" s="6"/>
      <c r="L10" s="53" t="s">
        <v>39</v>
      </c>
      <c r="M10" s="65"/>
      <c r="N10" s="65"/>
      <c r="O10" s="65"/>
      <c r="P10" s="65"/>
    </row>
    <row r="11" spans="1:16" ht="14.4">
      <c r="A11" s="410" t="s">
        <v>161</v>
      </c>
      <c r="B11" s="295" t="s">
        <v>157</v>
      </c>
      <c r="C11" s="329">
        <v>0</v>
      </c>
      <c r="D11" s="205" t="e">
        <f t="shared" si="0"/>
        <v>#DIV/0!</v>
      </c>
      <c r="E11" s="17" t="e">
        <f t="shared" si="1"/>
        <v>#DIV/0!</v>
      </c>
      <c r="F11" s="260" t="e">
        <f>RANK($E11,$E$10:$E$11)</f>
        <v>#DIV/0!</v>
      </c>
      <c r="G11" s="291">
        <v>0</v>
      </c>
      <c r="H11" s="422" t="s">
        <v>197</v>
      </c>
      <c r="I11" s="355"/>
      <c r="J11" s="6"/>
      <c r="L11" s="53"/>
      <c r="M11" s="65"/>
      <c r="N11" s="65"/>
      <c r="O11" s="65"/>
      <c r="P11" s="65"/>
    </row>
    <row r="12" spans="1:16">
      <c r="A12" s="6"/>
      <c r="B12" s="6"/>
      <c r="C12" s="67"/>
      <c r="D12" s="6"/>
      <c r="E12" s="6"/>
      <c r="F12" s="6"/>
      <c r="G12" s="197"/>
      <c r="H12" s="18"/>
    </row>
    <row r="13" spans="1:16">
      <c r="B13" s="270"/>
      <c r="D13" s="6"/>
    </row>
  </sheetData>
  <phoneticPr fontId="23" type="noConversion"/>
  <printOptions gridLines="1"/>
  <pageMargins left="0.75" right="0.75" top="1" bottom="1" header="0.5" footer="0.5"/>
  <pageSetup scale="67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42"/>
  <sheetViews>
    <sheetView workbookViewId="0">
      <selection activeCell="B4" sqref="B4"/>
    </sheetView>
  </sheetViews>
  <sheetFormatPr defaultColWidth="8.88671875" defaultRowHeight="13.2"/>
  <cols>
    <col min="1" max="1" width="40.88671875" customWidth="1"/>
    <col min="2" max="2" width="11" customWidth="1"/>
    <col min="3" max="3" width="21.44140625" style="65" customWidth="1"/>
    <col min="4" max="4" width="20" customWidth="1"/>
    <col min="5" max="5" width="16.88671875" customWidth="1"/>
    <col min="6" max="6" width="16.88671875" style="176" customWidth="1"/>
    <col min="7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ht="17.399999999999999">
      <c r="A1" s="7" t="s">
        <v>170</v>
      </c>
      <c r="B1" s="131"/>
      <c r="C1" s="38"/>
      <c r="D1" s="6"/>
      <c r="E1" s="19"/>
      <c r="F1" s="370" t="s">
        <v>122</v>
      </c>
      <c r="G1" s="207"/>
      <c r="H1" s="9"/>
      <c r="I1" s="6"/>
      <c r="J1" s="6"/>
      <c r="K1" s="6"/>
      <c r="L1" s="6"/>
      <c r="M1" s="6"/>
      <c r="N1" s="6"/>
      <c r="O1" s="6"/>
      <c r="P1" s="6"/>
    </row>
    <row r="2" spans="1:16" s="65" customFormat="1">
      <c r="A2" s="38"/>
      <c r="B2" s="143"/>
      <c r="C2" s="17"/>
      <c r="D2" s="9"/>
      <c r="E2" s="19"/>
      <c r="F2" s="370" t="s">
        <v>108</v>
      </c>
      <c r="G2" s="207"/>
      <c r="H2" s="66"/>
      <c r="I2" s="38"/>
      <c r="J2" s="38"/>
      <c r="K2" s="38"/>
      <c r="L2" s="38"/>
      <c r="M2" s="38"/>
      <c r="N2" s="38"/>
      <c r="O2" s="38"/>
      <c r="P2" s="38"/>
    </row>
    <row r="3" spans="1:16">
      <c r="A3" s="10" t="s">
        <v>243</v>
      </c>
      <c r="B3" s="364"/>
      <c r="C3" s="364" t="s">
        <v>144</v>
      </c>
      <c r="D3" s="55"/>
      <c r="E3" s="2" t="s">
        <v>30</v>
      </c>
      <c r="F3" s="2" t="s">
        <v>63</v>
      </c>
      <c r="G3" s="2" t="s">
        <v>64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365" t="s">
        <v>244</v>
      </c>
      <c r="C4" s="2" t="s">
        <v>44</v>
      </c>
      <c r="D4" s="23"/>
      <c r="E4" s="363" t="s">
        <v>66</v>
      </c>
      <c r="F4" s="2" t="s">
        <v>9</v>
      </c>
      <c r="G4" s="371" t="s">
        <v>44</v>
      </c>
      <c r="H4" s="23" t="s">
        <v>22</v>
      </c>
      <c r="I4" s="23"/>
      <c r="J4" s="20"/>
      <c r="K4" s="20"/>
      <c r="L4" s="5"/>
      <c r="M4" s="5"/>
      <c r="N4" s="5"/>
      <c r="O4" s="5"/>
      <c r="P4" s="2"/>
    </row>
    <row r="5" spans="1:16" ht="14.4">
      <c r="A5" s="410" t="s">
        <v>162</v>
      </c>
      <c r="B5" s="368"/>
      <c r="C5" s="366" t="s">
        <v>240</v>
      </c>
      <c r="D5" s="57"/>
      <c r="E5" s="433" t="s">
        <v>240</v>
      </c>
      <c r="F5" s="370" t="e">
        <f>-($E$9*E5)+$E$10</f>
        <v>#DIV/0!</v>
      </c>
      <c r="G5" s="370">
        <v>0</v>
      </c>
      <c r="H5" s="58">
        <f>RANK(G5, $G$5:$G$6)</f>
        <v>2</v>
      </c>
      <c r="I5" s="30"/>
      <c r="J5" s="18"/>
      <c r="K5" s="57"/>
      <c r="L5" s="18"/>
      <c r="M5" s="18"/>
      <c r="N5" s="3"/>
    </row>
    <row r="6" spans="1:16" ht="14.4">
      <c r="A6" s="410" t="s">
        <v>161</v>
      </c>
      <c r="B6" s="369">
        <v>74</v>
      </c>
      <c r="C6" s="367">
        <v>150</v>
      </c>
      <c r="D6" s="57"/>
      <c r="E6" s="433">
        <v>1</v>
      </c>
      <c r="F6" s="370">
        <v>150</v>
      </c>
      <c r="G6" s="370">
        <f t="shared" ref="G6" si="0">+C6+F6</f>
        <v>300</v>
      </c>
      <c r="H6" s="58">
        <f>RANK(G6, $G$5:$G$6)</f>
        <v>1</v>
      </c>
      <c r="I6" s="30"/>
      <c r="J6" s="18"/>
      <c r="K6" s="57"/>
      <c r="L6" s="18"/>
      <c r="M6" s="18"/>
      <c r="N6" s="3"/>
    </row>
    <row r="7" spans="1:16">
      <c r="B7" s="69"/>
      <c r="C7" s="69"/>
      <c r="D7" s="69" t="s">
        <v>136</v>
      </c>
      <c r="E7" s="149">
        <f>MIN(E5:E6)</f>
        <v>1</v>
      </c>
      <c r="F7" s="250"/>
      <c r="G7" s="54"/>
      <c r="H7" s="54"/>
      <c r="I7" s="4"/>
      <c r="J7" s="68"/>
      <c r="K7" s="70"/>
      <c r="L7" s="1"/>
    </row>
    <row r="8" spans="1:16">
      <c r="A8" s="145" t="s">
        <v>143</v>
      </c>
      <c r="B8" s="72">
        <v>74</v>
      </c>
      <c r="C8" s="73"/>
      <c r="D8" s="73" t="s">
        <v>138</v>
      </c>
      <c r="E8" s="149">
        <f>MAX(E5:E6)</f>
        <v>1</v>
      </c>
      <c r="F8" s="247"/>
      <c r="G8" s="73"/>
      <c r="H8" s="74"/>
      <c r="I8" s="4"/>
      <c r="J8" s="1"/>
      <c r="K8" s="1"/>
      <c r="L8" s="1"/>
    </row>
    <row r="9" spans="1:16">
      <c r="A9" s="145" t="s">
        <v>145</v>
      </c>
      <c r="B9" s="290"/>
      <c r="C9" s="73"/>
      <c r="D9" s="73" t="s">
        <v>135</v>
      </c>
      <c r="E9" s="73" t="e">
        <f>150/(E8-E7)</f>
        <v>#DIV/0!</v>
      </c>
      <c r="F9" s="247"/>
      <c r="G9" s="73"/>
      <c r="H9" s="74"/>
      <c r="I9" s="4"/>
      <c r="J9" s="1"/>
      <c r="K9" s="1"/>
      <c r="L9" s="1"/>
    </row>
    <row r="10" spans="1:16">
      <c r="A10" s="237"/>
      <c r="B10" s="72"/>
      <c r="C10" s="73"/>
      <c r="D10" s="73" t="s">
        <v>137</v>
      </c>
      <c r="E10" s="73" t="e">
        <f>E9*E8</f>
        <v>#DIV/0!</v>
      </c>
      <c r="F10" s="247"/>
      <c r="G10" s="73"/>
      <c r="H10" s="74"/>
      <c r="I10" s="4"/>
      <c r="J10" s="1"/>
      <c r="K10" s="1"/>
      <c r="L10" s="1"/>
    </row>
    <row r="11" spans="1:16">
      <c r="A11" s="279"/>
      <c r="B11" s="72"/>
      <c r="C11" s="73"/>
      <c r="D11" s="73"/>
      <c r="E11" s="73"/>
      <c r="F11" s="247"/>
      <c r="G11" s="73"/>
      <c r="H11" s="74"/>
      <c r="I11" s="4"/>
      <c r="J11" s="1"/>
      <c r="K11" s="1"/>
      <c r="L11" s="1"/>
    </row>
    <row r="12" spans="1:16">
      <c r="A12" s="252"/>
      <c r="B12" s="72"/>
      <c r="C12" s="73"/>
      <c r="D12" s="73"/>
      <c r="E12" s="73"/>
      <c r="F12" s="247"/>
      <c r="G12" s="73"/>
      <c r="H12" s="74"/>
      <c r="I12" s="4"/>
      <c r="J12" s="1"/>
      <c r="K12" s="1"/>
      <c r="L12" s="1"/>
    </row>
    <row r="13" spans="1:16">
      <c r="A13" s="252"/>
      <c r="B13" s="72"/>
      <c r="C13" s="73"/>
      <c r="D13" s="73"/>
      <c r="F13" s="247"/>
      <c r="G13" s="73"/>
      <c r="H13" s="74"/>
      <c r="I13" s="4"/>
      <c r="J13" s="1"/>
      <c r="K13" s="1"/>
      <c r="L13" s="1"/>
    </row>
    <row r="14" spans="1:16">
      <c r="A14" s="252"/>
      <c r="B14" s="280" t="s">
        <v>146</v>
      </c>
      <c r="C14" s="73"/>
      <c r="D14" s="73"/>
      <c r="F14" s="247"/>
      <c r="G14" s="73"/>
      <c r="H14" s="74"/>
      <c r="I14" s="4"/>
      <c r="J14" s="1"/>
      <c r="K14" s="1"/>
      <c r="L14" s="1"/>
    </row>
    <row r="15" spans="1:16">
      <c r="A15" s="71"/>
      <c r="B15" s="278" t="s">
        <v>106</v>
      </c>
      <c r="C15" s="272" t="s">
        <v>44</v>
      </c>
      <c r="D15" s="73"/>
      <c r="E15" s="73"/>
      <c r="F15" s="247"/>
      <c r="G15" s="73"/>
      <c r="H15" s="74"/>
      <c r="I15" s="4"/>
      <c r="J15" s="1"/>
      <c r="K15" s="1"/>
      <c r="L15" s="1"/>
    </row>
    <row r="16" spans="1:16">
      <c r="A16" s="273" t="s">
        <v>139</v>
      </c>
      <c r="B16" s="271">
        <f>B8</f>
        <v>74</v>
      </c>
      <c r="C16" s="194">
        <f>10^(($B$16-B16)/10)*150</f>
        <v>150</v>
      </c>
      <c r="D16" s="282" t="s">
        <v>147</v>
      </c>
      <c r="E16" s="73"/>
      <c r="F16" s="247"/>
      <c r="G16" s="73"/>
      <c r="H16" s="74"/>
      <c r="I16" s="4"/>
      <c r="J16" s="1"/>
      <c r="K16" s="1"/>
      <c r="L16" s="1"/>
    </row>
    <row r="17" spans="1:12">
      <c r="A17" s="71"/>
      <c r="B17" s="271">
        <f>B16+0.5</f>
        <v>74.5</v>
      </c>
      <c r="C17" s="194">
        <f t="shared" ref="C17:C32" si="1">10^(($B$16-B17)/10)*150</f>
        <v>133.68764072006181</v>
      </c>
      <c r="D17" s="73"/>
      <c r="E17" s="73"/>
      <c r="F17" s="247"/>
      <c r="G17" s="73"/>
      <c r="H17" s="74"/>
      <c r="I17" s="4"/>
      <c r="J17" s="1"/>
      <c r="K17" s="1"/>
      <c r="L17" s="1"/>
    </row>
    <row r="18" spans="1:12">
      <c r="A18" s="71"/>
      <c r="B18" s="271">
        <f t="shared" ref="B18:B32" si="2">B17+0.5</f>
        <v>75</v>
      </c>
      <c r="C18" s="194">
        <f t="shared" si="1"/>
        <v>119.14923520864222</v>
      </c>
      <c r="D18" s="73"/>
      <c r="E18" s="73"/>
      <c r="F18" s="247"/>
      <c r="G18" s="73"/>
      <c r="H18" s="74"/>
      <c r="I18" s="4"/>
      <c r="J18" s="1"/>
      <c r="K18" s="1"/>
      <c r="L18" s="1"/>
    </row>
    <row r="19" spans="1:12">
      <c r="A19" s="71"/>
      <c r="B19" s="271">
        <f t="shared" si="2"/>
        <v>75.5</v>
      </c>
      <c r="C19" s="194">
        <f t="shared" si="1"/>
        <v>106.19186765762069</v>
      </c>
      <c r="D19" s="73"/>
      <c r="E19" s="73"/>
      <c r="F19" s="247"/>
      <c r="G19" s="73"/>
      <c r="H19" s="74"/>
      <c r="I19" s="4"/>
      <c r="J19" s="1"/>
      <c r="K19" s="1"/>
      <c r="L19" s="1"/>
    </row>
    <row r="20" spans="1:12">
      <c r="A20" s="71"/>
      <c r="B20" s="271">
        <f t="shared" si="2"/>
        <v>76</v>
      </c>
      <c r="C20" s="194">
        <f t="shared" si="1"/>
        <v>94.643601672028993</v>
      </c>
      <c r="D20" s="73"/>
      <c r="E20" s="73"/>
      <c r="F20" s="247"/>
      <c r="G20" s="73"/>
      <c r="H20" s="74"/>
      <c r="I20" s="4"/>
      <c r="J20" s="1"/>
      <c r="K20" s="1"/>
      <c r="L20" s="1"/>
    </row>
    <row r="21" spans="1:12">
      <c r="A21" s="71"/>
      <c r="B21" s="271">
        <f t="shared" si="2"/>
        <v>76.5</v>
      </c>
      <c r="C21" s="194">
        <f t="shared" si="1"/>
        <v>84.351198778552359</v>
      </c>
      <c r="D21" s="73"/>
      <c r="E21" s="73"/>
      <c r="F21" s="247"/>
      <c r="G21" s="73"/>
      <c r="H21" s="74"/>
      <c r="I21" s="4"/>
      <c r="J21" s="1"/>
      <c r="K21" s="1"/>
      <c r="L21" s="1"/>
    </row>
    <row r="22" spans="1:12">
      <c r="A22" s="71"/>
      <c r="B22" s="271">
        <f t="shared" si="2"/>
        <v>77</v>
      </c>
      <c r="C22" s="194">
        <f t="shared" si="1"/>
        <v>75.178085044090835</v>
      </c>
      <c r="D22" s="144"/>
      <c r="E22" s="73"/>
      <c r="F22" s="251"/>
      <c r="G22" s="145"/>
      <c r="H22" s="74"/>
      <c r="I22" s="4"/>
      <c r="J22" s="1"/>
      <c r="K22" s="1"/>
      <c r="L22" s="1"/>
    </row>
    <row r="23" spans="1:12">
      <c r="A23" s="71"/>
      <c r="B23" s="271">
        <f t="shared" si="2"/>
        <v>77.5</v>
      </c>
      <c r="C23" s="194">
        <f t="shared" si="1"/>
        <v>67.002538822644468</v>
      </c>
      <c r="D23" s="73"/>
      <c r="E23" s="73"/>
      <c r="F23" s="247"/>
      <c r="G23" s="73"/>
      <c r="H23" s="74"/>
      <c r="I23" s="4"/>
      <c r="J23" s="1"/>
      <c r="K23" s="1"/>
      <c r="L23" s="1"/>
    </row>
    <row r="24" spans="1:12">
      <c r="A24" s="1"/>
      <c r="B24" s="271">
        <f t="shared" si="2"/>
        <v>78</v>
      </c>
      <c r="C24" s="194">
        <f t="shared" si="1"/>
        <v>59.716075583024583</v>
      </c>
      <c r="D24" s="1"/>
      <c r="E24" s="1"/>
      <c r="F24" s="248"/>
      <c r="G24" s="1"/>
      <c r="H24" s="1"/>
      <c r="I24" s="4"/>
      <c r="J24" s="1"/>
      <c r="K24" s="1"/>
      <c r="L24" s="1"/>
    </row>
    <row r="25" spans="1:12">
      <c r="A25" s="1"/>
      <c r="B25" s="271">
        <f t="shared" si="2"/>
        <v>78.5</v>
      </c>
      <c r="C25" s="194">
        <f t="shared" si="1"/>
        <v>53.222008385036311</v>
      </c>
      <c r="D25" s="4"/>
      <c r="E25" s="4"/>
      <c r="F25" s="249"/>
      <c r="G25" s="4"/>
      <c r="H25" s="4"/>
      <c r="I25" s="4"/>
      <c r="J25" s="1"/>
      <c r="K25" s="1"/>
      <c r="L25" s="1"/>
    </row>
    <row r="26" spans="1:12">
      <c r="B26" s="271">
        <f t="shared" si="2"/>
        <v>79</v>
      </c>
      <c r="C26" s="194">
        <f t="shared" si="1"/>
        <v>47.434164902525694</v>
      </c>
      <c r="D26" s="4"/>
      <c r="E26" s="4"/>
      <c r="F26" s="249"/>
      <c r="G26" s="4"/>
      <c r="H26" s="4"/>
      <c r="I26" s="4"/>
    </row>
    <row r="27" spans="1:12">
      <c r="B27" s="271">
        <f t="shared" si="2"/>
        <v>79.5</v>
      </c>
      <c r="C27" s="194">
        <f t="shared" si="1"/>
        <v>42.2757439689668</v>
      </c>
      <c r="D27" s="4"/>
      <c r="E27" s="4"/>
      <c r="F27" s="249"/>
      <c r="G27" s="4"/>
      <c r="H27" s="4"/>
      <c r="I27" s="4"/>
    </row>
    <row r="28" spans="1:12">
      <c r="B28" s="271">
        <f t="shared" si="2"/>
        <v>80</v>
      </c>
      <c r="C28" s="194">
        <f t="shared" si="1"/>
        <v>37.678296472643702</v>
      </c>
      <c r="D28" s="4"/>
      <c r="E28" s="4"/>
      <c r="F28" s="249"/>
      <c r="G28" s="4"/>
      <c r="H28" s="4"/>
      <c r="I28" s="4"/>
    </row>
    <row r="29" spans="1:12">
      <c r="B29" s="271">
        <f t="shared" si="2"/>
        <v>80.5</v>
      </c>
      <c r="C29" s="194">
        <f t="shared" si="1"/>
        <v>33.580817078525087</v>
      </c>
      <c r="D29" s="4"/>
      <c r="E29" s="4"/>
      <c r="F29" s="249"/>
      <c r="G29" s="4"/>
      <c r="H29" s="4"/>
      <c r="I29" s="4"/>
    </row>
    <row r="30" spans="1:12">
      <c r="B30" s="271">
        <f t="shared" si="2"/>
        <v>81</v>
      </c>
      <c r="C30" s="194">
        <f t="shared" si="1"/>
        <v>29.928934724533192</v>
      </c>
      <c r="D30" s="4"/>
      <c r="E30" s="4"/>
      <c r="F30" s="249"/>
      <c r="G30" s="4"/>
      <c r="H30" s="4"/>
      <c r="I30" s="4"/>
    </row>
    <row r="31" spans="1:12">
      <c r="B31" s="271">
        <f t="shared" si="2"/>
        <v>81.5</v>
      </c>
      <c r="C31" s="194">
        <f t="shared" si="1"/>
        <v>26.674191150583834</v>
      </c>
      <c r="D31" s="4"/>
      <c r="E31" s="4"/>
      <c r="F31" s="249"/>
      <c r="G31" s="4"/>
      <c r="H31" s="4"/>
      <c r="I31" s="4"/>
    </row>
    <row r="32" spans="1:12">
      <c r="A32" s="261" t="s">
        <v>140</v>
      </c>
      <c r="B32" s="271">
        <f t="shared" si="2"/>
        <v>82</v>
      </c>
      <c r="C32" s="194">
        <f t="shared" si="1"/>
        <v>23.773397886916698</v>
      </c>
      <c r="D32" s="281" t="s">
        <v>148</v>
      </c>
      <c r="E32" s="4"/>
      <c r="F32" s="249"/>
      <c r="G32" s="4"/>
      <c r="H32" s="4"/>
      <c r="I32" s="4"/>
    </row>
    <row r="33" spans="2:9">
      <c r="B33" s="271"/>
      <c r="C33" s="262"/>
      <c r="D33" s="4"/>
      <c r="E33" s="4"/>
      <c r="F33" s="249"/>
      <c r="G33" s="4"/>
      <c r="H33" s="4"/>
      <c r="I33" s="4"/>
    </row>
    <row r="34" spans="2:9">
      <c r="B34" s="271"/>
      <c r="C34" s="262"/>
      <c r="D34" s="4"/>
      <c r="E34" s="4"/>
      <c r="F34" s="249"/>
      <c r="G34" s="4"/>
      <c r="H34" s="4"/>
      <c r="I34" s="4"/>
    </row>
    <row r="35" spans="2:9">
      <c r="B35" s="72"/>
      <c r="C35" s="167"/>
      <c r="D35" s="4"/>
      <c r="E35" s="4"/>
      <c r="F35" s="249"/>
      <c r="G35" s="4"/>
      <c r="H35" s="4"/>
      <c r="I35" s="4"/>
    </row>
    <row r="36" spans="2:9">
      <c r="B36" s="72"/>
      <c r="C36" s="167"/>
      <c r="D36" s="4"/>
      <c r="E36" s="4"/>
      <c r="F36" s="249"/>
      <c r="G36" s="4"/>
      <c r="H36" s="4"/>
      <c r="I36" s="4"/>
    </row>
    <row r="37" spans="2:9">
      <c r="B37" s="72"/>
      <c r="C37" s="167"/>
      <c r="D37" s="4"/>
      <c r="E37" s="4"/>
      <c r="F37" s="249"/>
      <c r="G37" s="4"/>
      <c r="H37" s="4"/>
      <c r="I37" s="4"/>
    </row>
    <row r="38" spans="2:9">
      <c r="B38" s="72"/>
      <c r="C38" s="167"/>
      <c r="D38" s="4"/>
      <c r="E38" s="4"/>
      <c r="F38" s="249"/>
      <c r="G38" s="4"/>
      <c r="H38" s="4"/>
      <c r="I38" s="4"/>
    </row>
    <row r="39" spans="2:9">
      <c r="B39" s="72"/>
      <c r="C39" s="167"/>
      <c r="D39" s="4"/>
      <c r="E39" s="4"/>
      <c r="F39" s="249"/>
      <c r="G39" s="4"/>
      <c r="H39" s="4"/>
      <c r="I39" s="4"/>
    </row>
    <row r="40" spans="2:9">
      <c r="B40" s="72"/>
      <c r="C40" s="167"/>
      <c r="D40" s="4"/>
      <c r="E40" s="4"/>
      <c r="F40" s="249"/>
      <c r="G40" s="4"/>
      <c r="H40" s="4"/>
      <c r="I40" s="4"/>
    </row>
    <row r="41" spans="2:9">
      <c r="B41" s="72"/>
    </row>
    <row r="42" spans="2:9">
      <c r="B42" s="72"/>
    </row>
  </sheetData>
  <phoneticPr fontId="23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N7"/>
  <sheetViews>
    <sheetView topLeftCell="B1" zoomScale="70" zoomScaleNormal="70" workbookViewId="0">
      <selection activeCell="S5" sqref="S5"/>
    </sheetView>
  </sheetViews>
  <sheetFormatPr defaultColWidth="8.88671875" defaultRowHeight="13.2"/>
  <cols>
    <col min="1" max="1" width="36.44140625" customWidth="1"/>
    <col min="2" max="2" width="5.6640625" style="3" customWidth="1"/>
    <col min="3" max="18" width="5.6640625" customWidth="1"/>
    <col min="19" max="19" width="6.109375" customWidth="1"/>
    <col min="20" max="36" width="5.6640625" customWidth="1"/>
  </cols>
  <sheetData>
    <row r="1" spans="1:40" ht="17.399999999999999">
      <c r="A1" s="45" t="s">
        <v>171</v>
      </c>
      <c r="B1" s="42"/>
      <c r="C1" s="31"/>
      <c r="D1" s="31"/>
      <c r="E1" s="31"/>
      <c r="F1" s="198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176"/>
      <c r="AL1" s="176"/>
    </row>
    <row r="2" spans="1:40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76"/>
      <c r="AL2" s="176"/>
    </row>
    <row r="3" spans="1:40" s="65" customFormat="1">
      <c r="A3" s="139"/>
      <c r="B3" s="283">
        <v>1</v>
      </c>
      <c r="C3" s="283">
        <v>2</v>
      </c>
      <c r="D3" s="283">
        <v>3</v>
      </c>
      <c r="E3" s="283">
        <v>4</v>
      </c>
      <c r="F3" s="283">
        <v>5</v>
      </c>
      <c r="G3" s="283">
        <v>6</v>
      </c>
      <c r="H3" s="283">
        <v>7</v>
      </c>
      <c r="I3" s="283">
        <v>8</v>
      </c>
      <c r="J3" s="283">
        <v>9</v>
      </c>
      <c r="K3" s="283">
        <v>10</v>
      </c>
      <c r="L3" s="283">
        <v>11</v>
      </c>
      <c r="M3" s="283">
        <v>12</v>
      </c>
      <c r="N3" s="283">
        <v>13</v>
      </c>
      <c r="O3" s="283">
        <v>14</v>
      </c>
      <c r="P3" s="283">
        <v>15</v>
      </c>
      <c r="Q3" s="283">
        <v>16</v>
      </c>
      <c r="R3" s="283">
        <v>17</v>
      </c>
      <c r="S3" s="283">
        <v>18</v>
      </c>
      <c r="T3" s="283">
        <v>19</v>
      </c>
      <c r="U3" s="283">
        <v>20</v>
      </c>
      <c r="V3" s="283">
        <v>21</v>
      </c>
      <c r="W3" s="283">
        <v>22</v>
      </c>
      <c r="X3" s="283">
        <v>23</v>
      </c>
      <c r="Y3" s="283">
        <v>24</v>
      </c>
      <c r="Z3" s="283">
        <v>25</v>
      </c>
      <c r="AA3" s="283">
        <v>26</v>
      </c>
      <c r="AB3" s="283">
        <v>27</v>
      </c>
      <c r="AC3" s="283">
        <v>28</v>
      </c>
      <c r="AD3" s="283">
        <v>29</v>
      </c>
      <c r="AE3" s="283">
        <v>30</v>
      </c>
      <c r="AF3" s="283">
        <v>31</v>
      </c>
      <c r="AG3" s="283">
        <v>32</v>
      </c>
      <c r="AH3" s="283">
        <v>33</v>
      </c>
      <c r="AI3" s="283">
        <v>34</v>
      </c>
      <c r="AJ3" s="283">
        <v>35</v>
      </c>
      <c r="AK3" s="160" t="s">
        <v>60</v>
      </c>
      <c r="AL3" s="160" t="s">
        <v>44</v>
      </c>
      <c r="AM3" s="140" t="s">
        <v>22</v>
      </c>
    </row>
    <row r="4" spans="1:40" s="65" customFormat="1" ht="14.4">
      <c r="A4" s="410" t="s">
        <v>162</v>
      </c>
      <c r="B4" s="330">
        <v>63</v>
      </c>
      <c r="C4" s="423"/>
      <c r="D4" s="423">
        <v>71.5</v>
      </c>
      <c r="E4" s="423"/>
      <c r="F4" s="423"/>
      <c r="G4" s="423">
        <v>53.5</v>
      </c>
      <c r="H4" s="423">
        <v>67</v>
      </c>
      <c r="I4" s="423">
        <v>43</v>
      </c>
      <c r="J4" s="423">
        <v>70</v>
      </c>
      <c r="K4" s="423">
        <v>72.5</v>
      </c>
      <c r="L4" s="423">
        <v>54</v>
      </c>
      <c r="M4" s="423">
        <v>72.5</v>
      </c>
      <c r="N4" s="423">
        <v>49</v>
      </c>
      <c r="O4" s="423">
        <v>37</v>
      </c>
      <c r="P4" s="423">
        <v>67.5</v>
      </c>
      <c r="Q4" s="423">
        <v>59</v>
      </c>
      <c r="R4" s="423">
        <v>45</v>
      </c>
      <c r="S4" s="423">
        <v>46</v>
      </c>
      <c r="T4" s="423">
        <v>58</v>
      </c>
      <c r="U4" s="423">
        <v>52</v>
      </c>
      <c r="V4" s="423">
        <v>66</v>
      </c>
      <c r="W4" s="423">
        <v>64</v>
      </c>
      <c r="X4" s="423">
        <v>62.5</v>
      </c>
      <c r="Y4" s="423">
        <v>52.5</v>
      </c>
      <c r="Z4" s="423">
        <v>67.5</v>
      </c>
      <c r="AA4" s="423">
        <v>72.5</v>
      </c>
      <c r="AB4" s="423">
        <v>45</v>
      </c>
      <c r="AC4" s="423"/>
      <c r="AD4" s="423">
        <v>61.5</v>
      </c>
      <c r="AE4" s="423">
        <v>65.5</v>
      </c>
      <c r="AF4" s="423">
        <v>61</v>
      </c>
      <c r="AG4" s="423"/>
      <c r="AH4" s="423"/>
      <c r="AI4" s="423"/>
      <c r="AJ4" s="423"/>
      <c r="AK4" s="274">
        <f t="shared" ref="AK4:AK5" si="0">AVERAGE(B4:AJ4)</f>
        <v>59.203703703703702</v>
      </c>
      <c r="AL4" s="274">
        <f>IF(AK4&lt;5,5,AK4)</f>
        <v>59.203703703703702</v>
      </c>
      <c r="AM4" s="195">
        <f>RANK(AL4,$AL$4:$AL$5)</f>
        <v>2</v>
      </c>
      <c r="AN4" s="259"/>
    </row>
    <row r="5" spans="1:40" s="65" customFormat="1" ht="14.4">
      <c r="A5" s="410" t="s">
        <v>161</v>
      </c>
      <c r="B5" s="359">
        <v>67</v>
      </c>
      <c r="C5" s="423"/>
      <c r="D5" s="423"/>
      <c r="E5" s="423"/>
      <c r="F5" s="423">
        <v>71</v>
      </c>
      <c r="G5" s="423"/>
      <c r="H5" s="423">
        <v>82</v>
      </c>
      <c r="I5" s="423">
        <v>38</v>
      </c>
      <c r="J5" s="423">
        <v>55</v>
      </c>
      <c r="K5" s="423">
        <v>72.5</v>
      </c>
      <c r="L5" s="423">
        <v>54</v>
      </c>
      <c r="M5" s="423">
        <v>70</v>
      </c>
      <c r="N5" s="423">
        <v>77.5</v>
      </c>
      <c r="O5" s="423">
        <v>53</v>
      </c>
      <c r="P5" s="423">
        <v>67.5</v>
      </c>
      <c r="Q5" s="423"/>
      <c r="R5" s="423">
        <v>40</v>
      </c>
      <c r="S5" s="423"/>
      <c r="T5" s="423"/>
      <c r="U5" s="423">
        <v>50</v>
      </c>
      <c r="V5" s="423">
        <v>59</v>
      </c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274">
        <f t="shared" si="0"/>
        <v>61.178571428571431</v>
      </c>
      <c r="AL5" s="274">
        <f>IF(AK5&lt;5,5,AK5)</f>
        <v>61.178571428571431</v>
      </c>
      <c r="AM5" s="195">
        <f>RANK(AL5,$AL$4:$AL$5)</f>
        <v>1</v>
      </c>
      <c r="AN5" s="259"/>
    </row>
    <row r="6" spans="1:40">
      <c r="AK6" s="253"/>
      <c r="AL6" s="176"/>
    </row>
    <row r="7" spans="1:40">
      <c r="B7" s="3" t="s">
        <v>199</v>
      </c>
      <c r="C7" t="s">
        <v>200</v>
      </c>
      <c r="D7" t="s">
        <v>201</v>
      </c>
      <c r="E7" t="s">
        <v>202</v>
      </c>
      <c r="F7" t="s">
        <v>203</v>
      </c>
      <c r="G7" t="s">
        <v>204</v>
      </c>
      <c r="H7" t="s">
        <v>205</v>
      </c>
      <c r="I7" t="s">
        <v>206</v>
      </c>
      <c r="J7" t="s">
        <v>207</v>
      </c>
      <c r="K7" s="259" t="s">
        <v>208</v>
      </c>
      <c r="L7" t="s">
        <v>209</v>
      </c>
      <c r="M7" t="s">
        <v>210</v>
      </c>
      <c r="N7" t="s">
        <v>211</v>
      </c>
      <c r="O7" t="s">
        <v>212</v>
      </c>
      <c r="P7" s="259" t="s">
        <v>213</v>
      </c>
      <c r="Q7" t="s">
        <v>214</v>
      </c>
      <c r="R7" t="s">
        <v>215</v>
      </c>
      <c r="S7" t="s">
        <v>216</v>
      </c>
      <c r="T7" t="s">
        <v>217</v>
      </c>
      <c r="U7" t="s">
        <v>218</v>
      </c>
      <c r="V7" t="s">
        <v>219</v>
      </c>
      <c r="W7" t="s">
        <v>220</v>
      </c>
      <c r="X7" t="s">
        <v>221</v>
      </c>
      <c r="Y7" t="s">
        <v>222</v>
      </c>
      <c r="Z7" t="s">
        <v>223</v>
      </c>
      <c r="AA7" t="s">
        <v>224</v>
      </c>
      <c r="AB7" t="s">
        <v>225</v>
      </c>
      <c r="AC7" t="s">
        <v>226</v>
      </c>
      <c r="AD7" t="s">
        <v>227</v>
      </c>
      <c r="AE7" t="s">
        <v>228</v>
      </c>
      <c r="AF7" s="259" t="s">
        <v>229</v>
      </c>
      <c r="AK7" s="254"/>
      <c r="AL7" s="260" t="s">
        <v>141</v>
      </c>
    </row>
  </sheetData>
  <phoneticPr fontId="23" type="noConversion"/>
  <printOptions gridLines="1"/>
  <pageMargins left="0.21" right="0.2" top="1" bottom="1" header="0.5" footer="0.5"/>
  <pageSetup scale="49" orientation="landscape" horizontalDpi="4294967294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58"/>
  <sheetViews>
    <sheetView workbookViewId="0">
      <selection activeCell="E5" sqref="E5"/>
    </sheetView>
  </sheetViews>
  <sheetFormatPr defaultColWidth="8.88671875" defaultRowHeight="13.2"/>
  <cols>
    <col min="1" max="1" width="42.554687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384" t="s">
        <v>167</v>
      </c>
      <c r="B1" s="8"/>
      <c r="C1" s="6"/>
      <c r="D1" s="9"/>
      <c r="E1" s="67"/>
      <c r="F1" s="38"/>
      <c r="G1" s="6"/>
      <c r="H1" s="6"/>
    </row>
    <row r="2" spans="1:8" s="65" customFormat="1" ht="12.75" customHeight="1">
      <c r="A2" s="38"/>
      <c r="B2" s="38"/>
      <c r="C2" s="38"/>
      <c r="D2" s="163" t="s">
        <v>15</v>
      </c>
      <c r="E2" s="164">
        <f>MIN(D5:D6)</f>
        <v>0</v>
      </c>
      <c r="F2" s="38" t="s">
        <v>16</v>
      </c>
      <c r="G2" s="38"/>
      <c r="H2" s="38"/>
    </row>
    <row r="3" spans="1:8">
      <c r="A3" s="177"/>
      <c r="B3" s="11"/>
      <c r="C3" s="12"/>
      <c r="D3" s="165" t="s">
        <v>67</v>
      </c>
      <c r="E3" s="164">
        <v>11.66</v>
      </c>
      <c r="F3" s="203" t="s">
        <v>16</v>
      </c>
      <c r="G3" s="6"/>
    </row>
    <row r="4" spans="1:8" ht="27" customHeight="1">
      <c r="A4" s="10"/>
      <c r="B4" s="39" t="s">
        <v>26</v>
      </c>
      <c r="C4" s="39" t="s">
        <v>27</v>
      </c>
      <c r="D4" s="39" t="s">
        <v>32</v>
      </c>
      <c r="E4" s="36" t="s">
        <v>9</v>
      </c>
      <c r="F4" s="5" t="s">
        <v>22</v>
      </c>
      <c r="G4" s="214" t="s">
        <v>156</v>
      </c>
      <c r="H4" s="36"/>
    </row>
    <row r="5" spans="1:8" ht="14.4">
      <c r="A5" s="410" t="s">
        <v>162</v>
      </c>
      <c r="B5" s="385"/>
      <c r="C5" s="386"/>
      <c r="D5" s="142">
        <f t="shared" ref="D5:D6" si="0">MIN(B5:C5)</f>
        <v>0</v>
      </c>
      <c r="E5" s="407">
        <f>IF(D5&gt;=12,2.5,(-$D$10*D5+$D$11))</f>
        <v>50</v>
      </c>
      <c r="F5" s="5">
        <f>RANK(E5,$E$5:$E$6)</f>
        <v>1</v>
      </c>
      <c r="G5" s="260"/>
      <c r="H5" s="64"/>
    </row>
    <row r="6" spans="1:8" ht="14.4">
      <c r="A6" s="410" t="s">
        <v>161</v>
      </c>
      <c r="B6" s="387"/>
      <c r="C6" s="388"/>
      <c r="D6" s="142">
        <f t="shared" si="0"/>
        <v>0</v>
      </c>
      <c r="E6" s="407">
        <f>IF(D6&gt;=12,2.5,(-$D$10*D6+$D$11))</f>
        <v>50</v>
      </c>
      <c r="F6" s="5">
        <f>RANK(E6,$E$5:$E$6)</f>
        <v>1</v>
      </c>
      <c r="G6" s="260"/>
      <c r="H6" s="64"/>
    </row>
    <row r="7" spans="1:8">
      <c r="A7" s="24"/>
      <c r="B7" s="56"/>
      <c r="C7" s="56"/>
      <c r="D7" s="56"/>
      <c r="E7" s="18"/>
      <c r="F7" s="18"/>
      <c r="G7" s="18"/>
      <c r="H7" s="3"/>
    </row>
    <row r="8" spans="1:8">
      <c r="A8" s="24"/>
      <c r="B8" s="56"/>
      <c r="C8" s="127"/>
      <c r="D8" s="56"/>
      <c r="E8" s="18"/>
      <c r="F8" s="18"/>
      <c r="G8" s="18"/>
      <c r="H8" s="3"/>
    </row>
    <row r="9" spans="1:8">
      <c r="A9" s="24"/>
      <c r="B9" s="56"/>
      <c r="C9" s="213" t="s">
        <v>123</v>
      </c>
      <c r="D9" s="56"/>
      <c r="E9" s="18"/>
      <c r="F9" s="18"/>
      <c r="G9" s="18"/>
      <c r="H9" s="3"/>
    </row>
    <row r="10" spans="1:8">
      <c r="A10" s="24"/>
      <c r="B10" s="56"/>
      <c r="C10" s="257" t="s">
        <v>120</v>
      </c>
      <c r="D10" s="255">
        <f>50/(E3-E2)</f>
        <v>4.2881646655231558</v>
      </c>
      <c r="E10" s="18"/>
      <c r="F10" s="18"/>
      <c r="G10" s="18"/>
      <c r="H10" s="3"/>
    </row>
    <row r="11" spans="1:8">
      <c r="A11" s="24"/>
      <c r="B11" s="56"/>
      <c r="C11" s="257" t="s">
        <v>121</v>
      </c>
      <c r="D11" s="256">
        <f>D10*E3</f>
        <v>50</v>
      </c>
      <c r="E11" s="18"/>
      <c r="F11" s="18"/>
      <c r="G11" s="18"/>
      <c r="H11" s="3"/>
    </row>
    <row r="12" spans="1:8">
      <c r="A12" s="24"/>
      <c r="C12" s="213" t="s">
        <v>159</v>
      </c>
      <c r="D12" s="56"/>
      <c r="E12" s="18"/>
      <c r="F12" s="18"/>
      <c r="G12" s="18"/>
      <c r="H12" s="3"/>
    </row>
    <row r="13" spans="1:8">
      <c r="A13" s="24"/>
      <c r="B13" s="56"/>
      <c r="C13" s="56"/>
      <c r="D13" s="56"/>
      <c r="E13" s="18"/>
      <c r="F13" s="18"/>
      <c r="G13" s="18"/>
      <c r="H13" s="3"/>
    </row>
    <row r="14" spans="1:8">
      <c r="A14" s="24"/>
      <c r="B14" s="56"/>
      <c r="C14" s="56"/>
      <c r="D14" s="56"/>
      <c r="E14" s="18"/>
      <c r="F14" s="18"/>
      <c r="G14" s="18"/>
      <c r="H14" s="3"/>
    </row>
    <row r="15" spans="1:8">
      <c r="A15" s="24"/>
      <c r="B15" s="56"/>
      <c r="C15" s="56"/>
      <c r="D15" s="56"/>
      <c r="E15" s="18"/>
      <c r="F15" s="18"/>
      <c r="G15" s="18"/>
      <c r="H15" s="3"/>
    </row>
    <row r="16" spans="1:8">
      <c r="A16" s="24"/>
      <c r="B16" s="56"/>
      <c r="C16" s="56"/>
      <c r="D16" s="56"/>
      <c r="E16" s="18"/>
      <c r="F16" s="18"/>
      <c r="G16" s="18"/>
      <c r="H16" s="3"/>
    </row>
    <row r="17" spans="1:8">
      <c r="A17" s="24"/>
      <c r="B17" s="56"/>
      <c r="C17" s="56"/>
      <c r="D17" s="56"/>
      <c r="E17" s="18"/>
      <c r="F17" s="18"/>
      <c r="G17" s="18"/>
      <c r="H17" s="6"/>
    </row>
    <row r="18" spans="1:8">
      <c r="A18" s="24"/>
      <c r="B18" s="56"/>
      <c r="C18" s="56"/>
      <c r="D18" s="56"/>
      <c r="E18" s="18"/>
      <c r="F18" s="18"/>
      <c r="G18" s="18"/>
      <c r="H18" s="6"/>
    </row>
    <row r="19" spans="1:8">
      <c r="A19" s="12"/>
      <c r="B19" s="56"/>
      <c r="C19" s="56"/>
      <c r="D19" s="56"/>
      <c r="E19" s="18"/>
      <c r="F19" s="18"/>
      <c r="G19" s="18"/>
      <c r="H19" s="6"/>
    </row>
    <row r="20" spans="1:8">
      <c r="A20" s="12"/>
      <c r="B20" s="56"/>
      <c r="C20" s="56"/>
      <c r="D20" s="56"/>
      <c r="E20" s="18"/>
      <c r="F20" s="18"/>
      <c r="G20" s="18"/>
      <c r="H20" s="6"/>
    </row>
    <row r="21" spans="1:8">
      <c r="A21" s="12"/>
      <c r="B21" s="56"/>
      <c r="C21" s="56"/>
      <c r="D21" s="56"/>
      <c r="E21" s="18"/>
      <c r="F21" s="18"/>
      <c r="G21" s="18"/>
      <c r="H21" s="6"/>
    </row>
    <row r="22" spans="1:8">
      <c r="A22" s="51"/>
      <c r="B22" s="12"/>
      <c r="C22" s="12"/>
      <c r="D22" s="12"/>
      <c r="E22" s="6"/>
      <c r="F22" s="6"/>
      <c r="G22" s="6"/>
      <c r="H22" s="6"/>
    </row>
    <row r="23" spans="1:8">
      <c r="B23" s="4"/>
      <c r="C23" s="4"/>
      <c r="D23" s="4"/>
    </row>
    <row r="24" spans="1:8">
      <c r="B24" s="4"/>
      <c r="C24" s="4"/>
      <c r="D24" s="4"/>
    </row>
    <row r="25" spans="1:8">
      <c r="B25" s="4"/>
      <c r="C25" s="4"/>
      <c r="D25" s="4"/>
    </row>
    <row r="26" spans="1:8">
      <c r="B26" s="4"/>
      <c r="C26" s="4"/>
      <c r="D26" s="4"/>
    </row>
    <row r="27" spans="1:8">
      <c r="B27" s="4"/>
      <c r="C27" s="4"/>
      <c r="D27" s="4"/>
    </row>
    <row r="28" spans="1:8">
      <c r="B28" s="4"/>
      <c r="C28" s="4"/>
      <c r="D28" s="4"/>
    </row>
    <row r="29" spans="1:8">
      <c r="B29" s="4"/>
      <c r="C29" s="4"/>
      <c r="D29" s="4"/>
    </row>
    <row r="30" spans="1:8">
      <c r="B30" s="4"/>
      <c r="C30" s="4"/>
      <c r="D30" s="4"/>
    </row>
    <row r="31" spans="1:8">
      <c r="B31" s="4"/>
      <c r="C31" s="4"/>
      <c r="D31" s="4"/>
    </row>
    <row r="32" spans="1:8">
      <c r="B32" s="4"/>
      <c r="C32" s="4"/>
      <c r="D32" s="4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36" spans="2:4">
      <c r="B36" s="4"/>
      <c r="C36" s="4"/>
      <c r="D36" s="4"/>
    </row>
    <row r="37" spans="2:4">
      <c r="B37" s="4"/>
      <c r="C37" s="4"/>
      <c r="D37" s="4"/>
    </row>
    <row r="38" spans="2:4">
      <c r="B38" s="4"/>
      <c r="C38" s="4"/>
      <c r="D38" s="4"/>
    </row>
    <row r="39" spans="2:4">
      <c r="B39" s="4"/>
      <c r="C39" s="4"/>
      <c r="D39" s="4"/>
    </row>
    <row r="40" spans="2:4">
      <c r="B40" s="4"/>
      <c r="C40" s="4"/>
      <c r="D40" s="4"/>
    </row>
    <row r="41" spans="2:4">
      <c r="B41" s="4"/>
      <c r="C41" s="4"/>
      <c r="D41" s="4"/>
    </row>
    <row r="42" spans="2:4">
      <c r="B42" s="4"/>
      <c r="C42" s="4"/>
      <c r="D42" s="4"/>
    </row>
    <row r="43" spans="2:4">
      <c r="B43" s="4"/>
      <c r="C43" s="4"/>
      <c r="D43" s="4"/>
    </row>
    <row r="44" spans="2:4">
      <c r="B44" s="4"/>
      <c r="C44" s="4"/>
      <c r="D44" s="4"/>
    </row>
    <row r="45" spans="2:4">
      <c r="B45" s="4"/>
      <c r="C45" s="4"/>
      <c r="D45" s="4"/>
    </row>
    <row r="46" spans="2:4">
      <c r="B46" s="4"/>
      <c r="C46" s="4"/>
      <c r="D46" s="4"/>
    </row>
    <row r="47" spans="2:4">
      <c r="B47" s="4"/>
      <c r="C47" s="4"/>
      <c r="D47" s="4"/>
    </row>
    <row r="48" spans="2:4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</sheetData>
  <phoneticPr fontId="23" type="noConversion"/>
  <printOptions gridLines="1"/>
  <pageMargins left="0.75" right="0.75" top="0.5" bottom="0.5" header="0.5" footer="0.5"/>
  <pageSetup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Draw Bar Pull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2012-03-11T15:23:34Z</cp:lastPrinted>
  <dcterms:created xsi:type="dcterms:W3CDTF">2000-03-12T02:15:03Z</dcterms:created>
  <dcterms:modified xsi:type="dcterms:W3CDTF">2016-03-14T02:54:50Z</dcterms:modified>
</cp:coreProperties>
</file>