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" yWindow="4260" windowWidth="16608" windowHeight="4320" tabRatio="778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-Endurance 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definedNames>
    <definedName name="Bmax">'Lab Emissions'!$N$19</definedName>
    <definedName name="Bmin">'Lab Emissions'!$N$18</definedName>
    <definedName name="Emax">'Lab Emissions'!$J$19</definedName>
    <definedName name="Emin">'Lab Emissions'!$J$18</definedName>
    <definedName name="_xlnm.Print_Area" localSheetId="0">'Totals and Awards'!$A$1:$O$61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7" i="13"/>
  <c r="B56"/>
  <c r="H18" i="19"/>
  <c r="H16"/>
  <c r="H15"/>
  <c r="H14"/>
  <c r="H13"/>
  <c r="H12"/>
  <c r="H11"/>
  <c r="H10"/>
  <c r="H9"/>
  <c r="H8"/>
  <c r="H7"/>
  <c r="H6"/>
  <c r="D14"/>
  <c r="D15"/>
  <c r="D16"/>
  <c r="D17"/>
  <c r="D18"/>
  <c r="D11"/>
  <c r="D9"/>
  <c r="C18"/>
  <c r="C17"/>
  <c r="C16"/>
  <c r="C15"/>
  <c r="C14"/>
  <c r="C13"/>
  <c r="C12"/>
  <c r="C11"/>
  <c r="C10"/>
  <c r="C9"/>
  <c r="C8"/>
  <c r="C7"/>
  <c r="C6"/>
  <c r="D17" i="7" l="1"/>
  <c r="P13" i="18" l="1"/>
  <c r="P14"/>
  <c r="P10"/>
  <c r="P11"/>
  <c r="P8"/>
  <c r="L13"/>
  <c r="L10"/>
  <c r="L8"/>
  <c r="F16" i="6" l="1"/>
  <c r="H16"/>
  <c r="H8"/>
  <c r="G16"/>
  <c r="H12" s="1"/>
  <c r="G12"/>
  <c r="R15" i="14"/>
  <c r="R11"/>
  <c r="R12"/>
  <c r="R7"/>
  <c r="H17" i="6" l="1"/>
  <c r="H15"/>
  <c r="H13"/>
  <c r="H14"/>
  <c r="G8" l="1"/>
  <c r="F8"/>
  <c r="L18" i="3" l="1"/>
  <c r="AM7" i="5" l="1"/>
  <c r="AL7"/>
  <c r="AK7"/>
  <c r="AK15" l="1"/>
  <c r="AL15" s="1"/>
  <c r="L41" i="1"/>
  <c r="K41"/>
  <c r="J41"/>
  <c r="I41"/>
  <c r="F22" i="4"/>
  <c r="F21"/>
  <c r="F19"/>
  <c r="F18"/>
  <c r="F17"/>
  <c r="F16"/>
  <c r="F15"/>
  <c r="F14"/>
  <c r="F13"/>
  <c r="F12"/>
  <c r="F11"/>
  <c r="F10"/>
  <c r="D22" l="1"/>
  <c r="D21"/>
  <c r="D11"/>
  <c r="D12"/>
  <c r="D13"/>
  <c r="D14"/>
  <c r="D15"/>
  <c r="D16"/>
  <c r="D17"/>
  <c r="D18"/>
  <c r="D19"/>
  <c r="D10"/>
  <c r="E21" l="1"/>
  <c r="E19"/>
  <c r="E18"/>
  <c r="E17"/>
  <c r="E15"/>
  <c r="E14"/>
  <c r="E13"/>
  <c r="E12"/>
  <c r="E11"/>
  <c r="E10"/>
  <c r="N67" i="1" l="1"/>
  <c r="N68" s="1"/>
  <c r="D7" i="11"/>
  <c r="D8"/>
  <c r="D9"/>
  <c r="D10"/>
  <c r="D11"/>
  <c r="D12"/>
  <c r="D13"/>
  <c r="D14"/>
  <c r="D15"/>
  <c r="D16"/>
  <c r="D17"/>
  <c r="D18"/>
  <c r="D6" i="7"/>
  <c r="D7"/>
  <c r="D8"/>
  <c r="D9"/>
  <c r="D10"/>
  <c r="D11"/>
  <c r="D12"/>
  <c r="D13"/>
  <c r="D14"/>
  <c r="D15"/>
  <c r="D16"/>
  <c r="P59" i="1"/>
  <c r="P60"/>
  <c r="P61"/>
  <c r="P62"/>
  <c r="P63"/>
  <c r="P64"/>
  <c r="P65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4"/>
  <c r="P6" i="18"/>
  <c r="P7"/>
  <c r="P9"/>
  <c r="P12"/>
  <c r="P17"/>
  <c r="P5"/>
  <c r="L6"/>
  <c r="L7"/>
  <c r="L9"/>
  <c r="L11"/>
  <c r="L12"/>
  <c r="L14"/>
  <c r="L17"/>
  <c r="L5"/>
  <c r="H7" i="13"/>
  <c r="H11"/>
  <c r="G15" i="6"/>
  <c r="H14" i="13" s="1"/>
  <c r="H15"/>
  <c r="H12"/>
  <c r="C15" i="10"/>
  <c r="C7"/>
  <c r="D29" i="13" l="1"/>
  <c r="D24"/>
  <c r="D28"/>
  <c r="D31"/>
  <c r="D32"/>
  <c r="E19" i="6"/>
  <c r="B19" l="1"/>
  <c r="R13" i="14" l="1"/>
  <c r="R14"/>
  <c r="E14" i="13" s="1"/>
  <c r="S7" i="14"/>
  <c r="O70" i="1"/>
  <c r="O67"/>
  <c r="O68" s="1"/>
  <c r="B16" i="13" s="1"/>
  <c r="M70" i="1"/>
  <c r="M67"/>
  <c r="M68" s="1"/>
  <c r="E14" i="15"/>
  <c r="E15"/>
  <c r="E16"/>
  <c r="C5" i="10"/>
  <c r="C6"/>
  <c r="L6" i="13" s="1"/>
  <c r="C8" i="10"/>
  <c r="C9"/>
  <c r="C10"/>
  <c r="C11"/>
  <c r="L11" i="13" s="1"/>
  <c r="C12" i="10"/>
  <c r="L12" i="13" s="1"/>
  <c r="C13" i="10"/>
  <c r="L13" i="13" s="1"/>
  <c r="C14" i="10"/>
  <c r="L14" i="13" s="1"/>
  <c r="C16" i="10"/>
  <c r="L16" i="13" s="1"/>
  <c r="D5" i="7"/>
  <c r="AK14" i="5"/>
  <c r="AL14" s="1"/>
  <c r="AK16"/>
  <c r="AL16" s="1"/>
  <c r="AK5"/>
  <c r="AL5" s="1"/>
  <c r="AK4"/>
  <c r="AL4" s="1"/>
  <c r="AK6"/>
  <c r="AL6" s="1"/>
  <c r="AK8"/>
  <c r="AL8" s="1"/>
  <c r="AK9"/>
  <c r="AL9" s="1"/>
  <c r="AK10"/>
  <c r="AL10" s="1"/>
  <c r="AK11"/>
  <c r="AL11" s="1"/>
  <c r="AK12"/>
  <c r="AL12" s="1"/>
  <c r="AK13"/>
  <c r="AL13" s="1"/>
  <c r="J11" i="13"/>
  <c r="R5" i="18"/>
  <c r="D6" i="11"/>
  <c r="E3" s="1"/>
  <c r="C14" i="13"/>
  <c r="O5"/>
  <c r="O6"/>
  <c r="O7"/>
  <c r="O8"/>
  <c r="O9"/>
  <c r="O10"/>
  <c r="O11"/>
  <c r="O12"/>
  <c r="O13"/>
  <c r="O14"/>
  <c r="O15"/>
  <c r="O16"/>
  <c r="J5"/>
  <c r="J6"/>
  <c r="J7"/>
  <c r="J8"/>
  <c r="J9"/>
  <c r="J10"/>
  <c r="J12"/>
  <c r="J14"/>
  <c r="J15"/>
  <c r="J16"/>
  <c r="C16"/>
  <c r="N70" i="1"/>
  <c r="B15" i="13"/>
  <c r="J5" i="12"/>
  <c r="N5" i="13" s="1"/>
  <c r="J6" i="12"/>
  <c r="N6" i="13" s="1"/>
  <c r="J7" i="12"/>
  <c r="N7" i="13" s="1"/>
  <c r="J8" i="12"/>
  <c r="N8" i="13" s="1"/>
  <c r="J9" i="12"/>
  <c r="N9" i="13" s="1"/>
  <c r="J10" i="12"/>
  <c r="N10" i="13" s="1"/>
  <c r="J11" i="12"/>
  <c r="N11" i="13" s="1"/>
  <c r="J12" i="12"/>
  <c r="N12" i="13" s="1"/>
  <c r="J13" i="12"/>
  <c r="N13" i="13" s="1"/>
  <c r="J14" i="12"/>
  <c r="N14" i="13" s="1"/>
  <c r="J15" i="12"/>
  <c r="N15" i="13" s="1"/>
  <c r="J16" i="12"/>
  <c r="N16" i="13" s="1"/>
  <c r="L15"/>
  <c r="L7"/>
  <c r="R15" i="18"/>
  <c r="R16"/>
  <c r="R17"/>
  <c r="R8"/>
  <c r="G15" i="13"/>
  <c r="R8" i="14"/>
  <c r="E8" i="13" s="1"/>
  <c r="R9" i="14"/>
  <c r="E9" i="13" s="1"/>
  <c r="R10" i="14"/>
  <c r="E10" i="13" s="1"/>
  <c r="B27" i="3"/>
  <c r="B26"/>
  <c r="F2" i="19"/>
  <c r="L9" i="13"/>
  <c r="L10"/>
  <c r="L8"/>
  <c r="E5" i="15"/>
  <c r="E6"/>
  <c r="E7"/>
  <c r="E8"/>
  <c r="E9"/>
  <c r="E10"/>
  <c r="E11"/>
  <c r="E12"/>
  <c r="E13"/>
  <c r="E4"/>
  <c r="D70" i="1"/>
  <c r="E70"/>
  <c r="F70"/>
  <c r="G70"/>
  <c r="H70"/>
  <c r="I70"/>
  <c r="J70"/>
  <c r="K70"/>
  <c r="L70"/>
  <c r="C70"/>
  <c r="P47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8"/>
  <c r="P49"/>
  <c r="P50"/>
  <c r="P51"/>
  <c r="P52"/>
  <c r="P53"/>
  <c r="P54"/>
  <c r="P55"/>
  <c r="P56"/>
  <c r="P57"/>
  <c r="P58"/>
  <c r="H13" i="15"/>
  <c r="B27" i="6"/>
  <c r="R6" i="14"/>
  <c r="E6" i="13" s="1"/>
  <c r="E11"/>
  <c r="R4" i="14"/>
  <c r="C12" i="13"/>
  <c r="C9"/>
  <c r="B24" i="3"/>
  <c r="C4" i="13"/>
  <c r="C5"/>
  <c r="C6"/>
  <c r="C7"/>
  <c r="C8"/>
  <c r="C10"/>
  <c r="C11"/>
  <c r="C13"/>
  <c r="C15"/>
  <c r="P3" i="1"/>
  <c r="G7" i="13"/>
  <c r="E3" i="4"/>
  <c r="E2"/>
  <c r="O4" i="13"/>
  <c r="F1" i="19"/>
  <c r="B21" s="1"/>
  <c r="R5" i="14"/>
  <c r="S5" s="1"/>
  <c r="L5" i="13"/>
  <c r="C4" i="10"/>
  <c r="L4" i="13" s="1"/>
  <c r="J4" i="12"/>
  <c r="N4" i="13" s="1"/>
  <c r="S10" i="14"/>
  <c r="S8"/>
  <c r="S6"/>
  <c r="E5" i="13"/>
  <c r="R13" i="18"/>
  <c r="R12"/>
  <c r="R10"/>
  <c r="R11"/>
  <c r="R14"/>
  <c r="J13" i="13"/>
  <c r="R6" i="18"/>
  <c r="J4" i="13"/>
  <c r="R7" i="18"/>
  <c r="R9"/>
  <c r="E4" i="13"/>
  <c r="I67" i="1"/>
  <c r="I68" s="1"/>
  <c r="B10" i="13" s="1"/>
  <c r="E67" i="1"/>
  <c r="E68" s="1"/>
  <c r="F67"/>
  <c r="F68" s="1"/>
  <c r="B7" i="13" s="1"/>
  <c r="C67" i="1"/>
  <c r="C68" s="1"/>
  <c r="B4" i="13" s="1"/>
  <c r="G67" i="1"/>
  <c r="G68" s="1"/>
  <c r="L67"/>
  <c r="L68" s="1"/>
  <c r="B13" i="13" s="1"/>
  <c r="K67" i="1"/>
  <c r="K68" s="1"/>
  <c r="J67"/>
  <c r="J68" s="1"/>
  <c r="B11" i="13" s="1"/>
  <c r="D67" i="1"/>
  <c r="D68" s="1"/>
  <c r="H67"/>
  <c r="H68" s="1"/>
  <c r="B9" i="13" s="1"/>
  <c r="J1" i="19" l="1"/>
  <c r="S11" i="14"/>
  <c r="S15"/>
  <c r="S12"/>
  <c r="B25" i="3"/>
  <c r="E18"/>
  <c r="E19"/>
  <c r="E17"/>
  <c r="E15"/>
  <c r="E13"/>
  <c r="E11"/>
  <c r="E9"/>
  <c r="E7"/>
  <c r="E16"/>
  <c r="E14"/>
  <c r="E12"/>
  <c r="E10"/>
  <c r="E8"/>
  <c r="C27" i="6"/>
  <c r="C8"/>
  <c r="C16"/>
  <c r="C7"/>
  <c r="C5"/>
  <c r="C6"/>
  <c r="AM15" i="5"/>
  <c r="N71" i="1"/>
  <c r="H9" i="15"/>
  <c r="H5"/>
  <c r="H6"/>
  <c r="H12"/>
  <c r="H8"/>
  <c r="H14"/>
  <c r="F2"/>
  <c r="H16"/>
  <c r="H10"/>
  <c r="H7"/>
  <c r="H15"/>
  <c r="J2" i="19"/>
  <c r="F21" s="1"/>
  <c r="E2" i="7"/>
  <c r="D21" s="1"/>
  <c r="B28" i="6"/>
  <c r="S9" i="14"/>
  <c r="L12" i="3"/>
  <c r="D9" i="13" s="1"/>
  <c r="L11" i="3"/>
  <c r="D8" i="13" s="1"/>
  <c r="L13" i="3"/>
  <c r="D10" i="13" s="1"/>
  <c r="L16" i="3"/>
  <c r="D13" i="13" s="1"/>
  <c r="L8" i="3"/>
  <c r="D5" i="13" s="1"/>
  <c r="L7" i="3"/>
  <c r="D4" i="13" s="1"/>
  <c r="L14" i="3"/>
  <c r="D11" i="13" s="1"/>
  <c r="L19" i="3"/>
  <c r="L15"/>
  <c r="D12" i="13" s="1"/>
  <c r="L10" i="3"/>
  <c r="D7" i="13" s="1"/>
  <c r="L9" i="3"/>
  <c r="E2" i="11"/>
  <c r="E22" s="1"/>
  <c r="S16" i="14"/>
  <c r="E16" i="13"/>
  <c r="S4" i="14"/>
  <c r="S14"/>
  <c r="D6" i="13"/>
  <c r="D16"/>
  <c r="D15"/>
  <c r="L17" i="3"/>
  <c r="K71" i="1"/>
  <c r="B12" i="13"/>
  <c r="B6"/>
  <c r="E71" i="1"/>
  <c r="D71"/>
  <c r="L71"/>
  <c r="C71"/>
  <c r="B5" i="13"/>
  <c r="H71" i="1"/>
  <c r="I71"/>
  <c r="B8" i="13"/>
  <c r="G71" i="1"/>
  <c r="J71"/>
  <c r="F71"/>
  <c r="AM4" i="5"/>
  <c r="G4" i="13"/>
  <c r="AM12" i="5"/>
  <c r="G5" i="13"/>
  <c r="AM5" i="5"/>
  <c r="AM8"/>
  <c r="G8" i="13"/>
  <c r="G9"/>
  <c r="AM9" i="5"/>
  <c r="AM10"/>
  <c r="G10" i="13"/>
  <c r="G13"/>
  <c r="AM13" i="5"/>
  <c r="AM11"/>
  <c r="G11" i="13"/>
  <c r="G12"/>
  <c r="AM16" i="5"/>
  <c r="G16" i="13"/>
  <c r="AM14" i="5"/>
  <c r="G14" i="13"/>
  <c r="AM6" i="5"/>
  <c r="G6" i="13"/>
  <c r="E6" i="4"/>
  <c r="E7" s="1"/>
  <c r="F1" i="15"/>
  <c r="H4"/>
  <c r="H11"/>
  <c r="B22" i="19"/>
  <c r="S13" i="14"/>
  <c r="E13" i="13"/>
  <c r="E15"/>
  <c r="E12"/>
  <c r="E7"/>
  <c r="O71" i="1"/>
  <c r="M71"/>
  <c r="B14" i="13"/>
  <c r="I15" i="19" l="1"/>
  <c r="I13"/>
  <c r="I11"/>
  <c r="I9"/>
  <c r="I7"/>
  <c r="I18"/>
  <c r="E23" i="11"/>
  <c r="E17"/>
  <c r="E15"/>
  <c r="E10"/>
  <c r="E12"/>
  <c r="E14"/>
  <c r="E9"/>
  <c r="E11"/>
  <c r="E13"/>
  <c r="B29" i="6"/>
  <c r="C28"/>
  <c r="M11" i="3"/>
  <c r="D22" i="7"/>
  <c r="E5" s="1"/>
  <c r="E7" i="11"/>
  <c r="M5" i="13" s="1"/>
  <c r="M8"/>
  <c r="E18" i="11"/>
  <c r="M16" i="13" s="1"/>
  <c r="E6" i="11"/>
  <c r="M4" i="13" s="1"/>
  <c r="E16" i="11"/>
  <c r="M14" i="13" s="1"/>
  <c r="M10"/>
  <c r="E8" i="11"/>
  <c r="M6" i="13" s="1"/>
  <c r="M7"/>
  <c r="M11"/>
  <c r="M12"/>
  <c r="M15" i="3"/>
  <c r="M16"/>
  <c r="M10"/>
  <c r="M9"/>
  <c r="M17"/>
  <c r="D14" i="13"/>
  <c r="M18" i="3"/>
  <c r="M7"/>
  <c r="M14"/>
  <c r="M19"/>
  <c r="M12"/>
  <c r="M13"/>
  <c r="M8"/>
  <c r="F5" i="13"/>
  <c r="F13"/>
  <c r="F14"/>
  <c r="F9"/>
  <c r="F6"/>
  <c r="F12"/>
  <c r="F11"/>
  <c r="F22" i="19"/>
  <c r="I16" s="1"/>
  <c r="F10" i="13"/>
  <c r="F8"/>
  <c r="E16" i="7" l="1"/>
  <c r="K16" i="19"/>
  <c r="K18"/>
  <c r="K7"/>
  <c r="K9"/>
  <c r="K11"/>
  <c r="K13"/>
  <c r="K15"/>
  <c r="I17"/>
  <c r="I6"/>
  <c r="J18" s="1"/>
  <c r="I8"/>
  <c r="I10"/>
  <c r="I12"/>
  <c r="I14"/>
  <c r="F11" i="11"/>
  <c r="F14"/>
  <c r="F10"/>
  <c r="F17"/>
  <c r="F13"/>
  <c r="F9"/>
  <c r="F12"/>
  <c r="E9" i="7"/>
  <c r="E14"/>
  <c r="E15"/>
  <c r="E8"/>
  <c r="E13"/>
  <c r="E11"/>
  <c r="I10" i="13" s="1"/>
  <c r="E7" i="7"/>
  <c r="I6" i="13" s="1"/>
  <c r="E10" i="7"/>
  <c r="I9" i="13" s="1"/>
  <c r="E17" i="7"/>
  <c r="E12"/>
  <c r="E6"/>
  <c r="I5" i="13" s="1"/>
  <c r="C29" i="6"/>
  <c r="B30"/>
  <c r="D10" i="19"/>
  <c r="I11" i="13"/>
  <c r="I4"/>
  <c r="F6" i="11"/>
  <c r="M13" i="13"/>
  <c r="F15" i="11"/>
  <c r="F18"/>
  <c r="F8"/>
  <c r="F16"/>
  <c r="M9" i="13"/>
  <c r="F7" i="11"/>
  <c r="D7" i="19"/>
  <c r="D13"/>
  <c r="D12"/>
  <c r="D8"/>
  <c r="F15" i="13"/>
  <c r="F7"/>
  <c r="F4"/>
  <c r="F16"/>
  <c r="K14"/>
  <c r="D6" i="19"/>
  <c r="B28" i="13" l="1"/>
  <c r="C28"/>
  <c r="F12" i="7"/>
  <c r="K14" i="19"/>
  <c r="J14"/>
  <c r="K10"/>
  <c r="J10"/>
  <c r="K12"/>
  <c r="J12"/>
  <c r="K8"/>
  <c r="J8"/>
  <c r="J17"/>
  <c r="K17"/>
  <c r="K6"/>
  <c r="J6"/>
  <c r="J15"/>
  <c r="J13"/>
  <c r="J11"/>
  <c r="J9"/>
  <c r="J7"/>
  <c r="J16"/>
  <c r="I16" i="13"/>
  <c r="F17" i="7"/>
  <c r="I15" i="13"/>
  <c r="F16" i="7"/>
  <c r="I7" i="13"/>
  <c r="F8" i="7"/>
  <c r="I13" i="13"/>
  <c r="F14" i="7"/>
  <c r="F15"/>
  <c r="I14" i="13"/>
  <c r="G31" s="1"/>
  <c r="I12"/>
  <c r="F13" i="7"/>
  <c r="C30" i="6"/>
  <c r="B31"/>
  <c r="F11" i="7"/>
  <c r="I8" i="13"/>
  <c r="F9" i="7"/>
  <c r="F5"/>
  <c r="F6"/>
  <c r="F7"/>
  <c r="F10"/>
  <c r="K7" i="13"/>
  <c r="K16"/>
  <c r="K15"/>
  <c r="K4"/>
  <c r="K9"/>
  <c r="K13"/>
  <c r="K8"/>
  <c r="K10"/>
  <c r="K5"/>
  <c r="K11"/>
  <c r="G28" s="1"/>
  <c r="K12"/>
  <c r="G29" s="1"/>
  <c r="K6"/>
  <c r="C24" l="1"/>
  <c r="B24"/>
  <c r="B31"/>
  <c r="C31"/>
  <c r="C29"/>
  <c r="B29"/>
  <c r="B32"/>
  <c r="C32"/>
  <c r="G24"/>
  <c r="C31" i="6"/>
  <c r="B32"/>
  <c r="G32" i="13"/>
  <c r="B33" i="6" l="1"/>
  <c r="C32"/>
  <c r="C33" l="1"/>
  <c r="B34"/>
  <c r="C34" l="1"/>
  <c r="B35"/>
  <c r="B36" l="1"/>
  <c r="C35"/>
  <c r="C36" l="1"/>
  <c r="B37"/>
  <c r="C37" l="1"/>
  <c r="B38"/>
  <c r="C38" l="1"/>
  <c r="B39"/>
  <c r="C39" l="1"/>
  <c r="B40"/>
  <c r="C40" l="1"/>
  <c r="B41"/>
  <c r="B42" l="1"/>
  <c r="C41"/>
  <c r="E18"/>
  <c r="E20" s="1"/>
  <c r="E21" l="1"/>
  <c r="G9" s="1"/>
  <c r="C42"/>
  <c r="B43"/>
  <c r="C43" s="1"/>
  <c r="G11" l="1"/>
  <c r="H16" i="13"/>
  <c r="F7" i="6"/>
  <c r="G7" s="1"/>
  <c r="F10"/>
  <c r="G10" s="1"/>
  <c r="H9" i="13" s="1"/>
  <c r="H8"/>
  <c r="H10"/>
  <c r="H6"/>
  <c r="G14" i="6"/>
  <c r="F5"/>
  <c r="G5" s="1"/>
  <c r="F6"/>
  <c r="G6" s="1"/>
  <c r="H5" i="13" s="1"/>
  <c r="B26" l="1"/>
  <c r="D26"/>
  <c r="C26"/>
  <c r="B25"/>
  <c r="D25"/>
  <c r="C25"/>
  <c r="G22"/>
  <c r="D22"/>
  <c r="B22"/>
  <c r="C22"/>
  <c r="D27"/>
  <c r="B27"/>
  <c r="C27"/>
  <c r="B33"/>
  <c r="D33"/>
  <c r="C33"/>
  <c r="D23"/>
  <c r="B23"/>
  <c r="C23"/>
  <c r="G23"/>
  <c r="G25"/>
  <c r="G27"/>
  <c r="G26"/>
  <c r="G33"/>
  <c r="H9" i="6"/>
  <c r="H11"/>
  <c r="H7"/>
  <c r="H10"/>
  <c r="H6"/>
  <c r="H5"/>
  <c r="H4" i="13"/>
  <c r="H13"/>
  <c r="D21" l="1"/>
  <c r="B21"/>
  <c r="C21"/>
  <c r="D30"/>
  <c r="B30"/>
  <c r="C30"/>
  <c r="C35" s="1"/>
  <c r="G21"/>
  <c r="G30"/>
  <c r="H25" l="1"/>
  <c r="H33"/>
  <c r="H27"/>
  <c r="H30"/>
  <c r="H23"/>
  <c r="H26"/>
  <c r="H29"/>
  <c r="H24"/>
  <c r="H31"/>
  <c r="H21"/>
  <c r="H32"/>
  <c r="H28"/>
  <c r="H22"/>
  <c r="D35"/>
  <c r="B35"/>
</calcChain>
</file>

<file path=xl/sharedStrings.xml><?xml version="1.0" encoding="utf-8"?>
<sst xmlns="http://schemas.openxmlformats.org/spreadsheetml/2006/main" count="660" uniqueCount="319">
  <si>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</si>
  <si>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</si>
  <si>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</si>
  <si>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</si>
  <si>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</si>
  <si>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</si>
  <si>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</si>
  <si>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</si>
  <si>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</si>
  <si>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</si>
  <si>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</si>
  <si>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</si>
  <si>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</si>
  <si>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</si>
  <si>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</si>
  <si>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</si>
  <si>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</si>
  <si>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</si>
  <si>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Performance</t>
  </si>
  <si>
    <t>Best</t>
  </si>
  <si>
    <t>Points</t>
  </si>
  <si>
    <t>Design</t>
  </si>
  <si>
    <t>Most</t>
  </si>
  <si>
    <t>Practical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</si>
  <si>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</si>
  <si>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</si>
  <si>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</si>
  <si>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</si>
  <si>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</si>
  <si>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</si>
  <si>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</si>
  <si>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</si>
  <si>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</si>
  <si>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Minimum Lap Time (s)</t>
  </si>
  <si>
    <t>Tmax =</t>
  </si>
  <si>
    <t>Tmin =</t>
  </si>
  <si>
    <t>Noise</t>
  </si>
  <si>
    <t>Acceleration</t>
  </si>
  <si>
    <t>Best Time (s)</t>
  </si>
  <si>
    <t>Fuel Type</t>
  </si>
  <si>
    <t>Late Oral</t>
  </si>
  <si>
    <t>Fuel</t>
  </si>
  <si>
    <t>Economy</t>
  </si>
  <si>
    <t>Cold</t>
  </si>
  <si>
    <t>Start</t>
  </si>
  <si>
    <t xml:space="preserve"> </t>
  </si>
  <si>
    <t>Objective</t>
  </si>
  <si>
    <t>Display</t>
  </si>
  <si>
    <t>Subjective</t>
  </si>
  <si>
    <t>Comments</t>
  </si>
  <si>
    <t>Actual
Gallons
Consumed</t>
  </si>
  <si>
    <t>J192 Level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</si>
  <si>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</si>
  <si>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</si>
  <si>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</si>
  <si>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</si>
  <si>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</si>
  <si>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</si>
  <si>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</si>
  <si>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</si>
  <si>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</si>
  <si>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</si>
  <si>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</si>
  <si>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</si>
  <si>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</si>
  <si>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</si>
  <si>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</si>
  <si>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</si>
  <si>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Best Design Winner (SAE)</t>
  </si>
  <si>
    <t>Best Fuel Economy Winner (Gage)</t>
  </si>
  <si>
    <t>Most Practical Winner (BRC)</t>
  </si>
  <si>
    <t>Best Handling (Polaris)</t>
  </si>
  <si>
    <t>Average</t>
  </si>
  <si>
    <t>Best Acceleration (Woody's)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</si>
  <si>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</si>
  <si>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</si>
  <si>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</si>
  <si>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</si>
  <si>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</si>
  <si>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</si>
  <si>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</si>
  <si>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</si>
  <si>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Notes: Penalties included in times</t>
  </si>
  <si>
    <t>Inspection
 Penalty</t>
  </si>
  <si>
    <t>Ranking</t>
  </si>
  <si>
    <t>CSC Points</t>
  </si>
  <si>
    <t>Best Emissions Winner (AVL)</t>
  </si>
  <si>
    <t>Lowest "In Service" Emissions (Sensors)</t>
  </si>
  <si>
    <t>FINAL EMISSIONS (grams/mile)</t>
  </si>
  <si>
    <t>No points for</t>
  </si>
  <si>
    <t>Weight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</si>
  <si>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</si>
  <si>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</si>
  <si>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</si>
  <si>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</si>
  <si>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</si>
  <si>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</si>
  <si>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</si>
  <si>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</si>
  <si>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</si>
  <si>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</si>
  <si>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</si>
  <si>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E Score
&gt; 100</t>
  </si>
  <si>
    <t>Lab Emission Test</t>
  </si>
  <si>
    <t>Passing
E Scores</t>
  </si>
  <si>
    <t>Lab Emission Points</t>
  </si>
  <si>
    <t>Lab EmissionRanking</t>
  </si>
  <si>
    <t>Weighted BSFC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</si>
  <si>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</si>
  <si>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</si>
  <si>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</si>
  <si>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</si>
  <si>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</si>
  <si>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</si>
  <si>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</si>
  <si>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</si>
  <si>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Safety Award (Talon)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</si>
  <si>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</si>
  <si>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</si>
  <si>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</si>
  <si>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</si>
  <si>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</si>
  <si>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</si>
  <si>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</si>
  <si>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</si>
  <si>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Second Place Winner Overall (YNP)$750</t>
  </si>
  <si>
    <t>Third Place Winner Overall (ACSA)$500</t>
  </si>
  <si>
    <t>Best Engine Design (Mahle)$500</t>
  </si>
  <si>
    <t>Most Sportsmanlike Winner  (AVL)$1000</t>
  </si>
  <si>
    <t>Soot
&lt; 0.1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</si>
  <si>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</si>
  <si>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</si>
  <si>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</si>
  <si>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</si>
  <si>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</si>
  <si>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</si>
  <si>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</si>
  <si>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</si>
  <si>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</si>
  <si>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</si>
  <si>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</si>
  <si>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</si>
  <si>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</si>
  <si>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Mimimum score is 5 points regardless of averaage</t>
  </si>
  <si>
    <t>Otherwise the average is the score.</t>
  </si>
  <si>
    <t>Quietest Snowmobile Winner (PCB) Camoplact Trac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</si>
  <si>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</si>
  <si>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</si>
  <si>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</si>
  <si>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</si>
  <si>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</si>
  <si>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</si>
  <si>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</si>
  <si>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</si>
  <si>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Control Sled J192 Noise Level dBA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</si>
  <si>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</si>
  <si>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</si>
  <si>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</si>
  <si>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</si>
  <si>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</si>
  <si>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</si>
  <si>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</si>
  <si>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</si>
  <si>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Minimum team J192 Sound Pressure Level =</t>
  </si>
  <si>
    <t>Sound Pressure</t>
  </si>
  <si>
    <t>Control Sled J192 Sound Pressure Level</t>
  </si>
  <si>
    <t>Sample result: -3dB in sound pressure = ~half the max score</t>
  </si>
  <si>
    <t>Lowest SPL gets 150 points</t>
  </si>
  <si>
    <t>SPL equal to or greater than control sled gets 7.5 points</t>
  </si>
  <si>
    <t>Note this page will be calculated by AVL in their computer.  Just copy and past results.</t>
  </si>
  <si>
    <t># of papers</t>
  </si>
  <si>
    <t>CO+NO+THC
g/mile</t>
  </si>
  <si>
    <t>m</t>
  </si>
  <si>
    <t>b</t>
  </si>
  <si>
    <t>Endurance</t>
  </si>
  <si>
    <t>Rank</t>
  </si>
  <si>
    <t>Run 1 Lap Time (s)</t>
  </si>
  <si>
    <t>Run 2 Lap Time (s)</t>
  </si>
  <si>
    <t>Top Speed</t>
  </si>
  <si>
    <t>Gas/Isobutanol</t>
  </si>
  <si>
    <t>Fuel consumed (gallons)</t>
  </si>
  <si>
    <t>Total Time must be Less than 12 seconds</t>
  </si>
  <si>
    <t>Design Paper
Judge</t>
  </si>
  <si>
    <t>Most Improved (Aristo)$1000</t>
  </si>
  <si>
    <t>First Place Winner Overall
 (ISMA)$1,000 MacLean-Fogg $1000</t>
  </si>
  <si>
    <t>Best Performance Winner Camoplat Trac</t>
  </si>
  <si>
    <t>#1 Kettering Univ</t>
  </si>
  <si>
    <t>#3 Univ of Idaho</t>
  </si>
  <si>
    <t>#4 Univ of Wisconsin - Madison</t>
  </si>
  <si>
    <t>#5 Ecole De Technologie Superieure</t>
  </si>
  <si>
    <t>#6 Univ of Wisconsin - Platteville</t>
  </si>
  <si>
    <t>#8 Univ of Minnesota-Duluth</t>
  </si>
  <si>
    <t>#9 Univ of Waterloo</t>
  </si>
  <si>
    <t>#10 Michigan Tech Univ</t>
  </si>
  <si>
    <t>#12 Northern Illinois Univ</t>
  </si>
  <si>
    <t>#13 Iowa State Univ</t>
  </si>
  <si>
    <t>#14 Rochester Institute of Technology</t>
  </si>
  <si>
    <t>#15 Univ of Minnesota - Twin Cities</t>
  </si>
  <si>
    <t>#16 Clarkson Univ</t>
  </si>
  <si>
    <t>SAE CSC 2015 Final Score Internal Combustion Class</t>
  </si>
  <si>
    <t>SAE CSC 2015 Design Paper</t>
  </si>
  <si>
    <t>SAE CSC 2015 Static Display Results</t>
  </si>
  <si>
    <t>SAE CSC 2015 MSRP Results</t>
  </si>
  <si>
    <t>SAE CSC 2015 Fuel Economy/Endurance Results</t>
  </si>
  <si>
    <t>SAE CSC 2015 IC Engine Noise Testing</t>
  </si>
  <si>
    <t>SAE CSC 2015 Oral Presentation Results</t>
  </si>
  <si>
    <t>SAE CSC 2015 Acceleration Results Mike Rittenour - Polaris</t>
  </si>
  <si>
    <t>SAE CSC 2015 Lab Emission Testing Results</t>
  </si>
  <si>
    <t>SAE CSC 2015 In Service Emission Testing Results</t>
  </si>
  <si>
    <t>SAE CSC 2015 Cold Start Results</t>
  </si>
  <si>
    <t>SAE CSC 2015 Objective Handling/Driveability Event Results Mike Rittenour- Polaris</t>
  </si>
  <si>
    <t>SAE CSC 2015 Penalties</t>
  </si>
  <si>
    <t>SAE CSC 2015 IC Vehicle Weights</t>
  </si>
  <si>
    <t>SAE CSC 2015 Subjective Ride Results - Event Coordinator - Polaris</t>
  </si>
  <si>
    <t>If sled has dual mode only the worst "E" score run is shown here</t>
  </si>
  <si>
    <t>If sled has dual mode only the BSFE from the worst E-score of the two runs is shown here</t>
  </si>
  <si>
    <t>Lee Mattfield</t>
  </si>
  <si>
    <t>Doug Kowalski</t>
  </si>
  <si>
    <t>William Silvis</t>
  </si>
  <si>
    <t>Brendan Behrens</t>
  </si>
  <si>
    <t>Darrell Robinette</t>
  </si>
  <si>
    <t>Hugh Blaxill</t>
  </si>
  <si>
    <t>Andrew Deubek</t>
  </si>
  <si>
    <t>Kurt Person</t>
  </si>
  <si>
    <t>Kay Lloyd</t>
  </si>
  <si>
    <t>John Katnik</t>
  </si>
  <si>
    <t>Bonneau</t>
  </si>
  <si>
    <t>David Hendrie</t>
  </si>
  <si>
    <t>Christopher Morgan</t>
  </si>
  <si>
    <t>Steven Piechocki</t>
  </si>
  <si>
    <t>Elizabeth Krug</t>
  </si>
  <si>
    <t>Leroy Oberto</t>
  </si>
  <si>
    <t>Wayne Mohler</t>
  </si>
  <si>
    <t>Carl Schiele</t>
  </si>
  <si>
    <t>Dave Kalen</t>
  </si>
  <si>
    <t>Don Elzinga, Jr</t>
  </si>
  <si>
    <t>Ben Strayer</t>
  </si>
  <si>
    <t>Michael Parker</t>
  </si>
  <si>
    <t>Roger Cass</t>
  </si>
  <si>
    <t>Joshua DeSmet</t>
  </si>
  <si>
    <t>Matt Chmielewski</t>
  </si>
  <si>
    <t>David Procknow</t>
  </si>
  <si>
    <t>Tim Nevius</t>
  </si>
  <si>
    <t>Rich Grady</t>
  </si>
  <si>
    <t>Mike Fetter</t>
  </si>
  <si>
    <t>Garrett Hemming</t>
  </si>
  <si>
    <t>Steve Nagy</t>
  </si>
  <si>
    <t>Brian Dvorak</t>
  </si>
  <si>
    <t>Todd Cimermancic</t>
  </si>
  <si>
    <t>Rick Bjorkquist</t>
  </si>
  <si>
    <t>No Measurement</t>
  </si>
  <si>
    <t>Howard Haines</t>
  </si>
  <si>
    <t>Clayton Hendricks</t>
  </si>
  <si>
    <t>Travis Malouf</t>
  </si>
  <si>
    <t>Alex Graper</t>
  </si>
  <si>
    <t>DNF</t>
  </si>
  <si>
    <t>Dylan Truskolaski</t>
  </si>
  <si>
    <t>Noor Jariri</t>
  </si>
  <si>
    <t>Mike Rittenour</t>
  </si>
  <si>
    <t>Barry Ison</t>
  </si>
  <si>
    <t>Matt Mead</t>
  </si>
  <si>
    <t>Armando Sanchez</t>
  </si>
  <si>
    <t>Jason Ollanketo</t>
  </si>
  <si>
    <t>Merv Hoermann</t>
  </si>
  <si>
    <t>LL</t>
  </si>
  <si>
    <t>GH</t>
  </si>
  <si>
    <t>MF</t>
  </si>
  <si>
    <t>PS</t>
  </si>
  <si>
    <t>LK</t>
  </si>
  <si>
    <t>SCHOTT</t>
  </si>
  <si>
    <t>KL</t>
  </si>
  <si>
    <t>DB</t>
  </si>
  <si>
    <t>PL</t>
  </si>
  <si>
    <t>RB</t>
  </si>
  <si>
    <t>DT</t>
  </si>
  <si>
    <t>CK</t>
  </si>
  <si>
    <t>BE</t>
  </si>
  <si>
    <t>LB</t>
  </si>
  <si>
    <t>NB</t>
  </si>
  <si>
    <t>NN</t>
  </si>
  <si>
    <t>TE</t>
  </si>
  <si>
    <t>JP</t>
  </si>
  <si>
    <t>RW</t>
  </si>
  <si>
    <t>CS</t>
  </si>
  <si>
    <t>ELZ</t>
  </si>
  <si>
    <t>LS</t>
  </si>
  <si>
    <t>NN2</t>
  </si>
  <si>
    <t>TS</t>
  </si>
  <si>
    <t>NN3</t>
  </si>
  <si>
    <t>JL</t>
  </si>
  <si>
    <t>Ben Edwards</t>
  </si>
  <si>
    <t>RD</t>
  </si>
  <si>
    <t>HB</t>
  </si>
  <si>
    <t>CM</t>
  </si>
  <si>
    <t>SP</t>
  </si>
  <si>
    <t>SR</t>
  </si>
  <si>
    <t>TIMER</t>
  </si>
  <si>
    <t>Last Minute</t>
  </si>
  <si>
    <t>NO</t>
  </si>
  <si>
    <t>dnf</t>
  </si>
  <si>
    <t>PASS</t>
  </si>
  <si>
    <t>FAIL</t>
  </si>
  <si>
    <t>DNC</t>
  </si>
  <si>
    <t>Srikanth Reddy</t>
  </si>
  <si>
    <t>Not able to go 45 mph on course</t>
  </si>
  <si>
    <t>not finishing on time</t>
  </si>
  <si>
    <t>Innovation (DENSO) $500</t>
  </si>
  <si>
    <t>Rookie of the Year</t>
  </si>
  <si>
    <t>Trail Trac Award (HBPSI) $500</t>
  </si>
  <si>
    <t>siphoning fuel in lab on Saturday</t>
  </si>
  <si>
    <t>late MSRP</t>
  </si>
  <si>
    <t>Not Eligible due to not completing Inspection Monday</t>
  </si>
  <si>
    <t>Not Eligible due to not completing Inspection Monday in 4 hours</t>
  </si>
  <si>
    <t>DNF due to overheating engine</t>
  </si>
  <si>
    <t>1 PULL!</t>
  </si>
  <si>
    <t>Most Likely to be Manufactured (Kohler)</t>
  </si>
  <si>
    <t>Madison &amp; Idaho - Tie</t>
  </si>
  <si>
    <t>Best of the Best (BASF)</t>
  </si>
  <si>
    <t>Horiba "A Team in Need" - small 5 gas analyzer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</si>
</sst>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\$#,##0.00"/>
    <numFmt numFmtId="169" formatCode="0.000000"/>
    <numFmt numFmtId="170" formatCode="0.0000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8" fillId="2" borderId="0" applyNumberFormat="0" applyBorder="0" applyAlignment="0" applyProtection="0"/>
    <xf numFmtId="44" fontId="39" fillId="0" borderId="0" applyFont="0" applyFill="0" applyBorder="0" applyAlignment="0" applyProtection="0"/>
    <xf numFmtId="0" fontId="5" fillId="0" borderId="0"/>
    <xf numFmtId="0" fontId="6" fillId="0" borderId="0"/>
  </cellStyleXfs>
  <cellXfs count="518"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7" fillId="0" borderId="0" xfId="0" applyFont="1" applyAlignment="1" applyProtection="1">
      <alignment horizontal="center"/>
    </xf>
    <xf numFmtId="0" fontId="0" fillId="0" borderId="0" xfId="0" applyProtection="1"/>
    <xf numFmtId="0" fontId="12" fillId="0" borderId="0" xfId="0" applyFont="1" applyProtection="1"/>
    <xf numFmtId="0" fontId="8" fillId="0" borderId="0" xfId="0" applyFont="1" applyProtection="1"/>
    <xf numFmtId="0" fontId="0" fillId="0" borderId="0" xfId="0" applyAlignment="1" applyProtection="1">
      <alignment horizontal="right"/>
    </xf>
    <xf numFmtId="0" fontId="7" fillId="0" borderId="0" xfId="0" applyFont="1" applyProtection="1"/>
    <xf numFmtId="0" fontId="7" fillId="0" borderId="0" xfId="0" applyFont="1" applyFill="1" applyBorder="1" applyProtection="1"/>
    <xf numFmtId="0" fontId="0" fillId="0" borderId="0" xfId="0" applyFill="1" applyBorder="1" applyProtection="1"/>
    <xf numFmtId="0" fontId="7" fillId="0" borderId="0" xfId="0" applyFont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1" fontId="7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11" fillId="0" borderId="0" xfId="0" applyFont="1" applyProtection="1"/>
    <xf numFmtId="0" fontId="11" fillId="0" borderId="0" xfId="0" applyFont="1" applyFill="1" applyBorder="1"/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4" fillId="0" borderId="0" xfId="0" applyFont="1"/>
    <xf numFmtId="0" fontId="11" fillId="0" borderId="0" xfId="0" applyFont="1" applyFill="1" applyBorder="1" applyAlignment="1" applyProtection="1">
      <alignment horizontal="right"/>
    </xf>
    <xf numFmtId="1" fontId="7" fillId="0" borderId="0" xfId="0" applyNumberFormat="1" applyFont="1" applyAlignment="1" applyProtection="1">
      <alignment horizontal="right"/>
    </xf>
    <xf numFmtId="0" fontId="11" fillId="0" borderId="0" xfId="0" applyFont="1" applyAlignment="1" applyProtection="1">
      <alignment horizontal="center"/>
    </xf>
    <xf numFmtId="44" fontId="13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1" fillId="0" borderId="0" xfId="0" applyNumberFormat="1" applyFont="1" applyAlignment="1" applyProtection="1">
      <alignment horizontal="right"/>
    </xf>
    <xf numFmtId="1" fontId="10" fillId="0" borderId="0" xfId="0" applyNumberFormat="1" applyFont="1" applyAlignment="1" applyProtection="1">
      <alignment horizontal="center"/>
    </xf>
    <xf numFmtId="1" fontId="11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1" fontId="9" fillId="0" borderId="0" xfId="0" applyNumberFormat="1" applyFont="1" applyAlignment="1" applyProtection="1">
      <alignment horizontal="right"/>
    </xf>
    <xf numFmtId="0" fontId="9" fillId="0" borderId="0" xfId="0" applyFont="1" applyProtection="1"/>
    <xf numFmtId="0" fontId="10" fillId="0" borderId="0" xfId="0" applyFont="1" applyFill="1" applyBorder="1" applyAlignment="1" applyProtection="1">
      <alignment horizontal="center" wrapText="1"/>
    </xf>
    <xf numFmtId="164" fontId="11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 applyProtection="1">
      <alignment horizontal="center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1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1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10" fillId="0" borderId="0" xfId="0" applyNumberFormat="1" applyFont="1" applyFill="1" applyBorder="1" applyAlignment="1" applyProtection="1">
      <alignment horizontal="center"/>
    </xf>
    <xf numFmtId="0" fontId="15" fillId="0" borderId="0" xfId="0" applyFont="1"/>
    <xf numFmtId="0" fontId="7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9" fillId="0" borderId="0" xfId="0" applyFont="1"/>
    <xf numFmtId="0" fontId="9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7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0" xfId="0" quotePrefix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wrapText="1"/>
    </xf>
    <xf numFmtId="0" fontId="10" fillId="0" borderId="0" xfId="0" applyFont="1" applyAlignment="1" applyProtection="1">
      <alignment horizontal="left"/>
    </xf>
    <xf numFmtId="1" fontId="10" fillId="0" borderId="0" xfId="0" applyNumberFormat="1" applyFont="1" applyAlignment="1" applyProtection="1">
      <alignment horizontal="right"/>
    </xf>
    <xf numFmtId="1" fontId="9" fillId="0" borderId="0" xfId="0" applyNumberFormat="1" applyFont="1" applyAlignment="1" applyProtection="1">
      <alignment horizontal="center"/>
    </xf>
    <xf numFmtId="165" fontId="9" fillId="0" borderId="0" xfId="0" applyNumberFormat="1" applyFont="1" applyProtection="1"/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Border="1" applyAlignment="1" applyProtection="1"/>
    <xf numFmtId="0" fontId="16" fillId="0" borderId="0" xfId="0" applyFont="1" applyBorder="1" applyProtection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Alignment="1"/>
    <xf numFmtId="2" fontId="16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164" fontId="16" fillId="0" borderId="0" xfId="0" applyNumberFormat="1" applyFont="1" applyFill="1" applyAlignment="1" applyProtection="1"/>
    <xf numFmtId="164" fontId="16" fillId="0" borderId="0" xfId="0" applyNumberFormat="1" applyFont="1" applyFill="1" applyProtection="1"/>
    <xf numFmtId="164" fontId="16" fillId="0" borderId="0" xfId="0" applyNumberFormat="1" applyFont="1" applyFill="1"/>
    <xf numFmtId="164" fontId="16" fillId="0" borderId="0" xfId="0" applyNumberFormat="1" applyFont="1" applyFill="1" applyAlignment="1">
      <alignment horizontal="center"/>
    </xf>
    <xf numFmtId="0" fontId="17" fillId="0" borderId="0" xfId="0" applyFont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Protection="1"/>
    <xf numFmtId="2" fontId="17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/>
    <xf numFmtId="164" fontId="16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4" fontId="16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0" borderId="0" xfId="0" applyFont="1" applyProtection="1"/>
    <xf numFmtId="0" fontId="11" fillId="0" borderId="0" xfId="0" applyFont="1" applyAlignment="1" applyProtection="1"/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1" fillId="0" borderId="0" xfId="0" applyFont="1" applyAlignment="1"/>
    <xf numFmtId="2" fontId="11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/>
    <xf numFmtId="167" fontId="11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11" fillId="0" borderId="0" xfId="0" applyFont="1" applyFill="1" applyBorder="1" applyAlignment="1" applyProtection="1">
      <alignment horizontal="center" wrapText="1"/>
    </xf>
    <xf numFmtId="165" fontId="10" fillId="0" borderId="0" xfId="0" applyNumberFormat="1" applyFont="1" applyFill="1" applyBorder="1" applyProtection="1"/>
    <xf numFmtId="0" fontId="7" fillId="0" borderId="0" xfId="0" applyFont="1"/>
    <xf numFmtId="2" fontId="7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20" fillId="0" borderId="0" xfId="0" applyFont="1" applyProtection="1"/>
    <xf numFmtId="0" fontId="19" fillId="0" borderId="0" xfId="0" applyFont="1" applyProtection="1"/>
    <xf numFmtId="0" fontId="22" fillId="0" borderId="0" xfId="0" applyFont="1" applyFill="1" applyBorder="1" applyAlignment="1" applyProtection="1">
      <alignment horizontal="left"/>
    </xf>
    <xf numFmtId="0" fontId="22" fillId="0" borderId="0" xfId="0" applyFont="1" applyAlignment="1">
      <alignment horizontal="left"/>
    </xf>
    <xf numFmtId="0" fontId="1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67" fontId="20" fillId="0" borderId="0" xfId="0" applyNumberFormat="1" applyFont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1" fontId="20" fillId="0" borderId="0" xfId="0" applyNumberFormat="1" applyFont="1" applyAlignment="1" applyProtection="1">
      <alignment horizontal="center"/>
    </xf>
    <xf numFmtId="164" fontId="24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167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/>
    <xf numFmtId="0" fontId="20" fillId="0" borderId="0" xfId="0" applyFont="1" applyFill="1"/>
    <xf numFmtId="0" fontId="20" fillId="0" borderId="0" xfId="0" applyFont="1" applyFill="1" applyBorder="1" applyAlignment="1" applyProtection="1">
      <alignment horizontal="right"/>
    </xf>
    <xf numFmtId="1" fontId="24" fillId="0" borderId="0" xfId="0" applyNumberFormat="1" applyFont="1" applyAlignment="1" applyProtection="1">
      <alignment horizontal="right"/>
    </xf>
    <xf numFmtId="164" fontId="19" fillId="0" borderId="0" xfId="0" applyNumberFormat="1" applyFont="1" applyAlignment="1" applyProtection="1">
      <alignment horizontal="center"/>
    </xf>
    <xf numFmtId="1" fontId="8" fillId="0" borderId="0" xfId="0" applyNumberFormat="1" applyFont="1" applyProtection="1"/>
    <xf numFmtId="0" fontId="11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6" fillId="0" borderId="0" xfId="0" applyFont="1" applyAlignment="1" applyProtection="1">
      <alignment horizontal="center" wrapText="1"/>
    </xf>
    <xf numFmtId="2" fontId="9" fillId="0" borderId="0" xfId="0" applyNumberFormat="1" applyFont="1" applyAlignment="1" applyProtection="1">
      <alignment horizontal="center"/>
    </xf>
    <xf numFmtId="1" fontId="11" fillId="0" borderId="0" xfId="0" applyNumberFormat="1" applyFont="1" applyAlignment="1" applyProtection="1">
      <alignment horizontal="left"/>
    </xf>
    <xf numFmtId="0" fontId="25" fillId="0" borderId="0" xfId="0" applyFont="1"/>
    <xf numFmtId="0" fontId="25" fillId="0" borderId="0" xfId="0" applyFont="1" applyProtection="1"/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0" fontId="6" fillId="0" borderId="0" xfId="0" applyFont="1"/>
    <xf numFmtId="2" fontId="9" fillId="0" borderId="0" xfId="0" applyNumberFormat="1" applyFont="1" applyFill="1" applyBorder="1" applyAlignment="1" applyProtection="1">
      <alignment horizontal="center"/>
    </xf>
    <xf numFmtId="1" fontId="7" fillId="0" borderId="0" xfId="0" applyNumberFormat="1" applyFont="1" applyProtection="1"/>
    <xf numFmtId="164" fontId="7" fillId="0" borderId="0" xfId="0" quotePrefix="1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left"/>
    </xf>
    <xf numFmtId="164" fontId="11" fillId="0" borderId="0" xfId="0" applyNumberFormat="1" applyFont="1" applyFill="1"/>
    <xf numFmtId="2" fontId="7" fillId="0" borderId="0" xfId="0" applyNumberFormat="1" applyFont="1" applyAlignment="1">
      <alignment horizontal="center"/>
    </xf>
    <xf numFmtId="0" fontId="28" fillId="0" borderId="0" xfId="0" applyFont="1" applyAlignment="1">
      <alignment horizontal="justify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2" fontId="16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/>
    <xf numFmtId="0" fontId="27" fillId="0" borderId="0" xfId="0" applyFont="1" applyAlignment="1">
      <alignment horizontal="center"/>
    </xf>
    <xf numFmtId="1" fontId="21" fillId="0" borderId="0" xfId="0" applyNumberFormat="1" applyFont="1" applyAlignment="1" applyProtection="1">
      <alignment horizontal="center"/>
    </xf>
    <xf numFmtId="164" fontId="19" fillId="0" borderId="2" xfId="0" applyNumberFormat="1" applyFont="1" applyBorder="1" applyAlignment="1">
      <alignment horizontal="center"/>
    </xf>
    <xf numFmtId="1" fontId="19" fillId="0" borderId="0" xfId="0" applyNumberFormat="1" applyFont="1" applyAlignment="1" applyProtection="1">
      <alignment horizontal="center"/>
    </xf>
    <xf numFmtId="166" fontId="19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19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/>
    </xf>
    <xf numFmtId="0" fontId="30" fillId="0" borderId="0" xfId="0" applyFont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2" fontId="9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9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9" fillId="0" borderId="0" xfId="0" applyNumberFormat="1" applyFont="1" applyProtection="1"/>
    <xf numFmtId="2" fontId="11" fillId="0" borderId="0" xfId="0" applyNumberFormat="1" applyFont="1" applyProtection="1"/>
    <xf numFmtId="1" fontId="0" fillId="0" borderId="0" xfId="0" applyNumberFormat="1" applyBorder="1"/>
    <xf numFmtId="0" fontId="9" fillId="0" borderId="0" xfId="0" applyFont="1" applyBorder="1" applyAlignment="1">
      <alignment horizontal="left" wrapText="1"/>
    </xf>
    <xf numFmtId="164" fontId="9" fillId="0" borderId="2" xfId="0" applyNumberFormat="1" applyFont="1" applyBorder="1" applyAlignment="1">
      <alignment horizontal="left"/>
    </xf>
    <xf numFmtId="1" fontId="32" fillId="0" borderId="0" xfId="0" applyNumberFormat="1" applyFont="1" applyAlignment="1" applyProtection="1">
      <alignment horizontal="right"/>
    </xf>
    <xf numFmtId="0" fontId="32" fillId="0" borderId="0" xfId="0" applyFont="1" applyProtection="1"/>
    <xf numFmtId="0" fontId="33" fillId="0" borderId="0" xfId="0" applyFont="1"/>
    <xf numFmtId="0" fontId="33" fillId="0" borderId="0" xfId="0" applyFont="1" applyAlignment="1">
      <alignment horizontal="center"/>
    </xf>
    <xf numFmtId="164" fontId="33" fillId="0" borderId="0" xfId="0" applyNumberFormat="1" applyFont="1"/>
    <xf numFmtId="0" fontId="33" fillId="0" borderId="0" xfId="0" applyFont="1" applyProtection="1"/>
    <xf numFmtId="0" fontId="7" fillId="0" borderId="3" xfId="0" applyFont="1" applyBorder="1" applyAlignment="1">
      <alignment horizontal="centerContinuous"/>
    </xf>
    <xf numFmtId="0" fontId="11" fillId="0" borderId="0" xfId="0" applyFont="1" applyAlignment="1" applyProtection="1">
      <alignment horizontal="centerContinuous"/>
    </xf>
    <xf numFmtId="0" fontId="11" fillId="0" borderId="4" xfId="0" applyFont="1" applyBorder="1" applyAlignment="1" applyProtection="1">
      <alignment horizontal="centerContinuous"/>
    </xf>
    <xf numFmtId="0" fontId="11" fillId="0" borderId="5" xfId="0" applyFont="1" applyBorder="1" applyAlignment="1" applyProtection="1">
      <alignment horizontal="centerContinuous"/>
    </xf>
    <xf numFmtId="0" fontId="11" fillId="0" borderId="3" xfId="0" applyFont="1" applyBorder="1" applyAlignment="1" applyProtection="1">
      <alignment horizontal="centerContinuous"/>
    </xf>
    <xf numFmtId="0" fontId="11" fillId="0" borderId="7" xfId="0" applyFont="1" applyFill="1" applyBorder="1" applyProtection="1"/>
    <xf numFmtId="0" fontId="11" fillId="0" borderId="6" xfId="0" applyFont="1" applyFill="1" applyBorder="1" applyProtection="1"/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1" fontId="32" fillId="0" borderId="0" xfId="0" applyNumberFormat="1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164" fontId="6" fillId="0" borderId="2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0" fontId="34" fillId="0" borderId="0" xfId="0" applyFont="1"/>
    <xf numFmtId="0" fontId="33" fillId="0" borderId="0" xfId="0" applyFont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164" fontId="33" fillId="0" borderId="2" xfId="0" applyNumberFormat="1" applyFont="1" applyBorder="1" applyAlignment="1">
      <alignment horizontal="center"/>
    </xf>
    <xf numFmtId="167" fontId="33" fillId="0" borderId="0" xfId="0" applyNumberFormat="1" applyFont="1" applyAlignment="1" applyProtection="1">
      <alignment horizontal="center"/>
    </xf>
    <xf numFmtId="0" fontId="32" fillId="0" borderId="11" xfId="0" applyFont="1" applyBorder="1" applyAlignment="1">
      <alignment horizontal="center"/>
    </xf>
    <xf numFmtId="0" fontId="33" fillId="0" borderId="0" xfId="0" applyFont="1" applyAlignment="1" applyProtection="1"/>
    <xf numFmtId="0" fontId="33" fillId="0" borderId="0" xfId="0" applyFont="1" applyFill="1"/>
    <xf numFmtId="167" fontId="33" fillId="0" borderId="0" xfId="0" applyNumberFormat="1" applyFont="1" applyFill="1" applyBorder="1" applyAlignment="1" applyProtection="1">
      <alignment horizontal="center"/>
    </xf>
    <xf numFmtId="0" fontId="33" fillId="0" borderId="0" xfId="0" applyFont="1" applyAlignment="1"/>
    <xf numFmtId="0" fontId="33" fillId="0" borderId="0" xfId="0" applyFont="1" applyFill="1" applyBorder="1" applyAlignment="1" applyProtection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 applyProtection="1"/>
    <xf numFmtId="1" fontId="6" fillId="0" borderId="2" xfId="0" applyNumberFormat="1" applyFont="1" applyFill="1" applyBorder="1" applyAlignment="1" applyProtection="1">
      <alignment horizontal="center"/>
    </xf>
    <xf numFmtId="2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Fill="1" applyBorder="1" applyProtection="1"/>
    <xf numFmtId="0" fontId="36" fillId="0" borderId="0" xfId="0" applyFont="1" applyProtection="1"/>
    <xf numFmtId="0" fontId="36" fillId="0" borderId="0" xfId="0" applyFont="1"/>
    <xf numFmtId="1" fontId="6" fillId="0" borderId="0" xfId="0" applyNumberFormat="1" applyFont="1" applyAlignment="1" applyProtection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 applyProtection="1">
      <alignment horizontal="right"/>
    </xf>
    <xf numFmtId="0" fontId="27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Border="1"/>
    <xf numFmtId="165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44" fontId="7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164" fontId="37" fillId="0" borderId="2" xfId="1" applyNumberFormat="1" applyFont="1" applyFill="1" applyBorder="1" applyAlignment="1" applyProtection="1">
      <alignment horizontal="center"/>
    </xf>
    <xf numFmtId="0" fontId="9" fillId="0" borderId="0" xfId="0" applyFont="1" applyFill="1"/>
    <xf numFmtId="164" fontId="0" fillId="0" borderId="0" xfId="0" applyNumberFormat="1" applyAlignment="1">
      <alignment horizontal="center"/>
    </xf>
    <xf numFmtId="2" fontId="11" fillId="0" borderId="0" xfId="0" applyNumberFormat="1" applyFont="1" applyAlignment="1" applyProtection="1"/>
    <xf numFmtId="0" fontId="11" fillId="0" borderId="0" xfId="0" applyNumberFormat="1" applyFont="1" applyProtection="1"/>
    <xf numFmtId="0" fontId="11" fillId="0" borderId="0" xfId="0" applyNumberFormat="1" applyFont="1" applyFill="1" applyBorder="1" applyProtection="1"/>
    <xf numFmtId="0" fontId="10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/>
    </xf>
    <xf numFmtId="0" fontId="16" fillId="0" borderId="0" xfId="0" applyNumberFormat="1" applyFont="1"/>
    <xf numFmtId="0" fontId="0" fillId="0" borderId="0" xfId="0" applyNumberFormat="1"/>
    <xf numFmtId="164" fontId="9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6" fillId="0" borderId="0" xfId="0" applyNumberFormat="1" applyFont="1" applyBorder="1" applyAlignment="1" applyProtection="1">
      <alignment horizontal="left"/>
    </xf>
    <xf numFmtId="165" fontId="38" fillId="0" borderId="0" xfId="1" applyNumberFormat="1" applyFill="1" applyBorder="1" applyProtection="1"/>
    <xf numFmtId="166" fontId="7" fillId="0" borderId="2" xfId="0" applyNumberFormat="1" applyFont="1" applyFill="1" applyBorder="1" applyAlignment="1" applyProtection="1">
      <alignment horizontal="center"/>
    </xf>
    <xf numFmtId="0" fontId="37" fillId="0" borderId="2" xfId="1" applyFont="1" applyFill="1" applyBorder="1" applyAlignment="1" applyProtection="1">
      <alignment horizontal="center"/>
    </xf>
    <xf numFmtId="166" fontId="11" fillId="0" borderId="0" xfId="0" applyNumberFormat="1" applyFont="1" applyFill="1" applyBorder="1" applyProtection="1"/>
    <xf numFmtId="166" fontId="11" fillId="0" borderId="0" xfId="0" applyNumberFormat="1" applyFont="1" applyProtection="1"/>
    <xf numFmtId="1" fontId="11" fillId="0" borderId="0" xfId="0" applyNumberFormat="1" applyFont="1" applyFill="1" applyBorder="1" applyAlignment="1" applyProtection="1">
      <alignment horizontal="center"/>
    </xf>
    <xf numFmtId="44" fontId="11" fillId="0" borderId="0" xfId="2" applyFont="1" applyFill="1" applyBorder="1" applyAlignment="1" applyProtection="1">
      <alignment horizontal="center"/>
    </xf>
    <xf numFmtId="44" fontId="0" fillId="0" borderId="0" xfId="2" applyFont="1"/>
    <xf numFmtId="169" fontId="11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Border="1" applyAlignment="1" applyProtection="1">
      <alignment horizontal="center"/>
    </xf>
    <xf numFmtId="0" fontId="33" fillId="0" borderId="0" xfId="0" applyFont="1" applyBorder="1"/>
    <xf numFmtId="0" fontId="33" fillId="0" borderId="0" xfId="0" applyFont="1" applyFill="1" applyBorder="1"/>
    <xf numFmtId="0" fontId="32" fillId="0" borderId="0" xfId="0" applyFont="1" applyBorder="1" applyAlignment="1" applyProtection="1">
      <alignment horizontal="center"/>
    </xf>
    <xf numFmtId="1" fontId="32" fillId="0" borderId="0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164" fontId="32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2" fontId="33" fillId="0" borderId="0" xfId="0" applyNumberFormat="1" applyFont="1" applyFill="1" applyBorder="1" applyAlignment="1" applyProtection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2" fillId="0" borderId="0" xfId="0" applyFont="1" applyAlignment="1">
      <alignment horizontal="left"/>
    </xf>
    <xf numFmtId="0" fontId="43" fillId="0" borderId="0" xfId="0" applyFont="1"/>
    <xf numFmtId="1" fontId="33" fillId="0" borderId="0" xfId="0" applyNumberFormat="1" applyFont="1" applyAlignment="1">
      <alignment horizontal="center"/>
    </xf>
    <xf numFmtId="2" fontId="7" fillId="0" borderId="0" xfId="0" applyNumberFormat="1" applyFont="1" applyFill="1" applyAlignment="1" applyProtection="1">
      <alignment horizontal="center"/>
    </xf>
    <xf numFmtId="165" fontId="6" fillId="0" borderId="0" xfId="0" applyNumberFormat="1" applyFont="1" applyFill="1" applyBorder="1" applyProtection="1"/>
    <xf numFmtId="2" fontId="6" fillId="0" borderId="0" xfId="0" applyNumberFormat="1" applyFont="1"/>
    <xf numFmtId="165" fontId="37" fillId="0" borderId="0" xfId="1" applyNumberFormat="1" applyFont="1" applyFill="1" applyBorder="1" applyProtection="1"/>
    <xf numFmtId="0" fontId="33" fillId="0" borderId="0" xfId="0" applyFont="1" applyFill="1" applyBorder="1" applyAlignment="1">
      <alignment horizontal="center"/>
    </xf>
    <xf numFmtId="2" fontId="0" fillId="0" borderId="2" xfId="0" applyNumberFormat="1" applyBorder="1" applyAlignment="1" applyProtection="1">
      <alignment horizontal="center"/>
    </xf>
    <xf numFmtId="164" fontId="7" fillId="0" borderId="2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right"/>
    </xf>
    <xf numFmtId="164" fontId="7" fillId="0" borderId="0" xfId="0" applyNumberFormat="1" applyFont="1" applyFill="1" applyAlignment="1" applyProtection="1">
      <alignment horizontal="center"/>
    </xf>
    <xf numFmtId="0" fontId="32" fillId="0" borderId="0" xfId="0" applyFont="1" applyFill="1" applyBorder="1" applyProtection="1"/>
    <xf numFmtId="0" fontId="12" fillId="0" borderId="0" xfId="0" applyFont="1" applyAlignment="1">
      <alignment horizontal="left"/>
    </xf>
    <xf numFmtId="0" fontId="33" fillId="0" borderId="0" xfId="0" applyFont="1" applyBorder="1" applyAlignment="1">
      <alignment horizontal="left" wrapText="1"/>
    </xf>
    <xf numFmtId="2" fontId="6" fillId="0" borderId="2" xfId="0" applyNumberFormat="1" applyFont="1" applyBorder="1" applyAlignment="1" applyProtection="1">
      <alignment horizontal="center"/>
    </xf>
    <xf numFmtId="1" fontId="33" fillId="0" borderId="0" xfId="0" applyNumberFormat="1" applyFont="1" applyBorder="1" applyAlignment="1" applyProtection="1">
      <alignment horizontal="left"/>
    </xf>
    <xf numFmtId="2" fontId="6" fillId="0" borderId="0" xfId="0" applyNumberFormat="1" applyFont="1" applyBorder="1" applyAlignment="1" applyProtection="1">
      <alignment horizontal="left"/>
    </xf>
    <xf numFmtId="0" fontId="6" fillId="0" borderId="0" xfId="0" applyFont="1" applyFill="1" applyBorder="1"/>
    <xf numFmtId="164" fontId="6" fillId="0" borderId="0" xfId="0" applyNumberFormat="1" applyFont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center" wrapText="1"/>
    </xf>
    <xf numFmtId="164" fontId="4" fillId="0" borderId="2" xfId="1" applyNumberFormat="1" applyFont="1" applyFill="1" applyBorder="1" applyAlignment="1" applyProtection="1">
      <alignment horizontal="center"/>
    </xf>
    <xf numFmtId="164" fontId="3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41" fillId="0" borderId="0" xfId="0" applyFont="1" applyAlignment="1"/>
    <xf numFmtId="0" fontId="41" fillId="0" borderId="0" xfId="0" applyFont="1"/>
    <xf numFmtId="0" fontId="41" fillId="0" borderId="2" xfId="0" applyFont="1" applyBorder="1" applyAlignment="1"/>
    <xf numFmtId="0" fontId="6" fillId="0" borderId="2" xfId="0" applyFont="1" applyBorder="1" applyAlignment="1"/>
    <xf numFmtId="0" fontId="0" fillId="0" borderId="2" xfId="0" applyBorder="1" applyAlignment="1"/>
    <xf numFmtId="0" fontId="33" fillId="0" borderId="2" xfId="0" applyFont="1" applyBorder="1" applyAlignment="1"/>
    <xf numFmtId="164" fontId="9" fillId="0" borderId="0" xfId="0" applyNumberFormat="1" applyFont="1" applyAlignment="1">
      <alignment horizontal="center"/>
    </xf>
    <xf numFmtId="2" fontId="6" fillId="0" borderId="0" xfId="0" applyNumberFormat="1" applyFont="1" applyBorder="1" applyAlignment="1" applyProtection="1">
      <alignment horizontal="center"/>
    </xf>
    <xf numFmtId="164" fontId="37" fillId="0" borderId="2" xfId="1" applyNumberFormat="1" applyFont="1" applyFill="1" applyBorder="1" applyAlignment="1">
      <alignment horizontal="center"/>
    </xf>
    <xf numFmtId="0" fontId="28" fillId="0" borderId="0" xfId="0" applyFont="1" applyAlignment="1">
      <alignment horizontal="left" indent="12"/>
    </xf>
    <xf numFmtId="0" fontId="6" fillId="0" borderId="0" xfId="0" applyFont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Continuous"/>
    </xf>
    <xf numFmtId="2" fontId="0" fillId="0" borderId="3" xfId="0" applyNumberFormat="1" applyBorder="1" applyAlignment="1">
      <alignment horizontal="centerContinuous"/>
    </xf>
    <xf numFmtId="2" fontId="0" fillId="0" borderId="6" xfId="0" applyNumberFormat="1" applyBorder="1"/>
    <xf numFmtId="2" fontId="7" fillId="0" borderId="9" xfId="0" applyNumberFormat="1" applyFont="1" applyBorder="1" applyAlignment="1">
      <alignment horizontal="center" vertical="center" wrapText="1"/>
    </xf>
    <xf numFmtId="2" fontId="0" fillId="0" borderId="2" xfId="0" applyNumberFormat="1" applyBorder="1"/>
    <xf numFmtId="2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0" borderId="0" xfId="0" applyNumberFormat="1" applyFont="1"/>
    <xf numFmtId="2" fontId="0" fillId="0" borderId="0" xfId="0" applyNumberFormat="1"/>
    <xf numFmtId="2" fontId="10" fillId="0" borderId="0" xfId="0" applyNumberFormat="1" applyFont="1" applyFill="1" applyAlignment="1" applyProtection="1">
      <alignment horizontal="center"/>
    </xf>
    <xf numFmtId="0" fontId="44" fillId="0" borderId="0" xfId="0" applyFont="1" applyFill="1" applyAlignment="1" applyProtection="1">
      <alignment horizontal="center"/>
    </xf>
    <xf numFmtId="0" fontId="44" fillId="0" borderId="0" xfId="0" applyFont="1" applyFill="1" applyAlignment="1">
      <alignment horizontal="center"/>
    </xf>
    <xf numFmtId="2" fontId="44" fillId="0" borderId="0" xfId="0" applyNumberFormat="1" applyFont="1" applyFill="1" applyAlignment="1" applyProtection="1">
      <alignment horizontal="center"/>
    </xf>
    <xf numFmtId="0" fontId="45" fillId="0" borderId="0" xfId="0" applyFont="1" applyFill="1" applyAlignment="1">
      <alignment horizontal="center"/>
    </xf>
    <xf numFmtId="164" fontId="46" fillId="0" borderId="2" xfId="1" applyNumberFormat="1" applyFont="1" applyFill="1" applyBorder="1" applyAlignment="1" applyProtection="1">
      <alignment horizontal="center"/>
    </xf>
    <xf numFmtId="0" fontId="37" fillId="0" borderId="0" xfId="1" applyFont="1" applyFill="1" applyBorder="1"/>
    <xf numFmtId="0" fontId="47" fillId="0" borderId="0" xfId="0" applyFont="1" applyBorder="1"/>
    <xf numFmtId="0" fontId="47" fillId="0" borderId="0" xfId="0" applyFont="1" applyBorder="1" applyAlignment="1">
      <alignment horizontal="center"/>
    </xf>
    <xf numFmtId="170" fontId="6" fillId="0" borderId="0" xfId="0" applyNumberFormat="1" applyFont="1" applyAlignment="1" applyProtection="1">
      <alignment horizontal="center"/>
    </xf>
    <xf numFmtId="170" fontId="9" fillId="0" borderId="0" xfId="0" applyNumberFormat="1" applyFont="1" applyAlignment="1" applyProtection="1">
      <alignment horizontal="center"/>
    </xf>
    <xf numFmtId="0" fontId="31" fillId="0" borderId="0" xfId="3" applyFont="1" applyBorder="1" applyAlignment="1">
      <alignment horizontal="left" wrapText="1"/>
    </xf>
    <xf numFmtId="0" fontId="46" fillId="0" borderId="2" xfId="0" applyFont="1" applyBorder="1" applyAlignment="1">
      <alignment horizontal="left" wrapText="1"/>
    </xf>
    <xf numFmtId="0" fontId="38" fillId="0" borderId="2" xfId="1" applyFont="1" applyFill="1" applyBorder="1" applyAlignment="1" applyProtection="1">
      <alignment horizontal="center"/>
    </xf>
    <xf numFmtId="0" fontId="51" fillId="0" borderId="0" xfId="0" applyFont="1" applyFill="1" applyAlignment="1" applyProtection="1">
      <alignment horizontal="center"/>
    </xf>
    <xf numFmtId="0" fontId="52" fillId="0" borderId="0" xfId="0" applyFont="1" applyAlignment="1">
      <alignment horizontal="left"/>
    </xf>
    <xf numFmtId="0" fontId="53" fillId="0" borderId="0" xfId="0" applyFont="1"/>
    <xf numFmtId="0" fontId="52" fillId="0" borderId="0" xfId="0" applyFont="1"/>
    <xf numFmtId="0" fontId="54" fillId="0" borderId="0" xfId="0" applyFont="1"/>
    <xf numFmtId="0" fontId="52" fillId="0" borderId="0" xfId="0" applyFont="1" applyProtection="1"/>
    <xf numFmtId="0" fontId="53" fillId="0" borderId="0" xfId="0" applyFont="1" applyAlignment="1">
      <alignment horizontal="left"/>
    </xf>
    <xf numFmtId="0" fontId="40" fillId="0" borderId="0" xfId="1" applyFont="1" applyFill="1" applyAlignment="1" applyProtection="1">
      <alignment horizontal="center"/>
    </xf>
    <xf numFmtId="0" fontId="33" fillId="0" borderId="0" xfId="0" applyFont="1" applyFill="1" applyBorder="1" applyProtection="1"/>
    <xf numFmtId="2" fontId="55" fillId="0" borderId="0" xfId="0" applyNumberFormat="1" applyFont="1" applyFill="1" applyBorder="1" applyAlignment="1" applyProtection="1">
      <alignment horizontal="center"/>
    </xf>
    <xf numFmtId="2" fontId="28" fillId="0" borderId="0" xfId="0" applyNumberFormat="1" applyFont="1" applyAlignment="1"/>
    <xf numFmtId="2" fontId="29" fillId="0" borderId="0" xfId="0" applyNumberFormat="1" applyFont="1" applyAlignment="1"/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37" fillId="0" borderId="0" xfId="1" applyFont="1" applyFill="1" applyAlignment="1" applyProtection="1">
      <alignment horizontal="center"/>
    </xf>
    <xf numFmtId="164" fontId="37" fillId="0" borderId="2" xfId="1" applyNumberFormat="1" applyFont="1" applyFill="1" applyBorder="1" applyAlignment="1">
      <alignment horizontal="center" vertical="top" wrapText="1"/>
    </xf>
    <xf numFmtId="164" fontId="1" fillId="0" borderId="2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2" fontId="6" fillId="0" borderId="0" xfId="0" applyNumberFormat="1" applyFont="1" applyAlignment="1">
      <alignment horizontal="center"/>
    </xf>
    <xf numFmtId="170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37" fillId="0" borderId="11" xfId="1" applyNumberFormat="1" applyFont="1" applyFill="1" applyBorder="1" applyAlignment="1">
      <alignment horizontal="center"/>
    </xf>
    <xf numFmtId="0" fontId="37" fillId="0" borderId="11" xfId="1" applyFont="1" applyFill="1" applyBorder="1" applyAlignment="1">
      <alignment horizontal="left" wrapText="1"/>
    </xf>
    <xf numFmtId="0" fontId="50" fillId="0" borderId="0" xfId="0" applyFont="1"/>
    <xf numFmtId="0" fontId="56" fillId="0" borderId="0" xfId="0" applyFont="1" applyAlignment="1" applyProtection="1">
      <alignment horizontal="left"/>
    </xf>
    <xf numFmtId="0" fontId="56" fillId="0" borderId="0" xfId="0" applyFont="1" applyProtection="1"/>
    <xf numFmtId="0" fontId="48" fillId="0" borderId="0" xfId="0" applyFont="1" applyBorder="1" applyAlignment="1" applyProtection="1">
      <alignment horizontal="left"/>
    </xf>
    <xf numFmtId="0" fontId="48" fillId="0" borderId="0" xfId="0" applyFont="1" applyBorder="1" applyAlignment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1" fontId="7" fillId="0" borderId="0" xfId="0" applyNumberFormat="1" applyFont="1" applyBorder="1" applyAlignment="1" applyProtection="1"/>
    <xf numFmtId="1" fontId="10" fillId="0" borderId="0" xfId="0" applyNumberFormat="1" applyFont="1" applyBorder="1" applyAlignment="1" applyProtection="1"/>
    <xf numFmtId="1" fontId="7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46" fillId="0" borderId="2" xfId="3" applyFont="1" applyBorder="1" applyAlignment="1">
      <alignment horizontal="left" wrapText="1"/>
    </xf>
    <xf numFmtId="0" fontId="52" fillId="0" borderId="0" xfId="0" applyFont="1" applyAlignment="1">
      <alignment horizontal="left" wrapText="1"/>
    </xf>
    <xf numFmtId="164" fontId="57" fillId="0" borderId="2" xfId="0" applyNumberFormat="1" applyFont="1" applyBorder="1" applyAlignment="1">
      <alignment horizontal="center"/>
    </xf>
    <xf numFmtId="164" fontId="57" fillId="0" borderId="13" xfId="0" applyNumberFormat="1" applyFont="1" applyBorder="1" applyAlignment="1">
      <alignment horizontal="center"/>
    </xf>
    <xf numFmtId="164" fontId="57" fillId="0" borderId="12" xfId="0" applyNumberFormat="1" applyFont="1" applyBorder="1" applyAlignment="1">
      <alignment horizontal="center"/>
    </xf>
    <xf numFmtId="164" fontId="57" fillId="0" borderId="14" xfId="0" applyNumberFormat="1" applyFont="1" applyBorder="1" applyAlignment="1">
      <alignment horizontal="center"/>
    </xf>
    <xf numFmtId="0" fontId="15" fillId="0" borderId="0" xfId="0" applyFont="1" applyAlignment="1" applyProtection="1"/>
    <xf numFmtId="164" fontId="7" fillId="0" borderId="0" xfId="0" applyNumberFormat="1" applyFont="1"/>
    <xf numFmtId="2" fontId="12" fillId="0" borderId="0" xfId="0" applyNumberFormat="1" applyFont="1" applyProtection="1"/>
    <xf numFmtId="2" fontId="7" fillId="0" borderId="0" xfId="0" applyNumberFormat="1" applyFont="1" applyProtection="1"/>
    <xf numFmtId="2" fontId="10" fillId="0" borderId="0" xfId="0" applyNumberFormat="1" applyFont="1" applyFill="1" applyBorder="1" applyAlignment="1" applyProtection="1">
      <alignment horizontal="center" wrapText="1"/>
    </xf>
    <xf numFmtId="164" fontId="37" fillId="0" borderId="2" xfId="1" applyNumberFormat="1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58" fillId="0" borderId="0" xfId="0" applyNumberFormat="1" applyFont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" fontId="57" fillId="3" borderId="2" xfId="0" applyNumberFormat="1" applyFont="1" applyFill="1" applyBorder="1" applyAlignment="1">
      <alignment horizontal="center"/>
    </xf>
    <xf numFmtId="1" fontId="57" fillId="3" borderId="12" xfId="0" applyNumberFormat="1" applyFont="1" applyFill="1" applyBorder="1" applyAlignment="1">
      <alignment horizontal="center"/>
    </xf>
    <xf numFmtId="2" fontId="57" fillId="3" borderId="12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58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2" fontId="6" fillId="3" borderId="2" xfId="0" applyNumberFormat="1" applyFont="1" applyFill="1" applyBorder="1" applyAlignment="1">
      <alignment horizontal="center"/>
    </xf>
    <xf numFmtId="2" fontId="6" fillId="3" borderId="12" xfId="0" applyNumberFormat="1" applyFont="1" applyFill="1" applyBorder="1" applyAlignment="1">
      <alignment horizontal="center"/>
    </xf>
    <xf numFmtId="166" fontId="6" fillId="0" borderId="13" xfId="0" applyNumberFormat="1" applyFont="1" applyBorder="1" applyAlignment="1">
      <alignment horizontal="center"/>
    </xf>
    <xf numFmtId="170" fontId="6" fillId="0" borderId="12" xfId="0" applyNumberFormat="1" applyFont="1" applyBorder="1" applyAlignment="1">
      <alignment horizontal="center"/>
    </xf>
    <xf numFmtId="166" fontId="6" fillId="0" borderId="14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58" fillId="0" borderId="0" xfId="0" applyFont="1" applyAlignment="1">
      <alignment horizontal="center" vertical="center"/>
    </xf>
    <xf numFmtId="167" fontId="59" fillId="0" borderId="0" xfId="0" applyNumberFormat="1" applyFont="1" applyAlignment="1">
      <alignment horizontal="center"/>
    </xf>
    <xf numFmtId="164" fontId="59" fillId="0" borderId="0" xfId="0" applyNumberFormat="1" applyFont="1" applyAlignment="1">
      <alignment horizontal="center"/>
    </xf>
    <xf numFmtId="2" fontId="60" fillId="0" borderId="0" xfId="0" applyNumberFormat="1" applyFont="1" applyAlignment="1">
      <alignment horizontal="center"/>
    </xf>
    <xf numFmtId="0" fontId="61" fillId="0" borderId="2" xfId="0" applyFont="1" applyBorder="1"/>
    <xf numFmtId="0" fontId="6" fillId="0" borderId="11" xfId="0" applyFont="1" applyBorder="1"/>
    <xf numFmtId="0" fontId="12" fillId="0" borderId="0" xfId="0" applyFont="1"/>
    <xf numFmtId="2" fontId="57" fillId="0" borderId="14" xfId="0" applyNumberFormat="1" applyFont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2" fontId="6" fillId="0" borderId="12" xfId="0" applyNumberFormat="1" applyFont="1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6" fillId="0" borderId="12" xfId="0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2" fontId="59" fillId="0" borderId="14" xfId="0" applyNumberFormat="1" applyFont="1" applyBorder="1"/>
    <xf numFmtId="164" fontId="60" fillId="0" borderId="14" xfId="0" applyNumberFormat="1" applyFont="1" applyBorder="1" applyAlignment="1">
      <alignment horizontal="center"/>
    </xf>
    <xf numFmtId="2" fontId="60" fillId="0" borderId="12" xfId="0" applyNumberFormat="1" applyFont="1" applyBorder="1" applyAlignment="1">
      <alignment horizontal="center"/>
    </xf>
    <xf numFmtId="2" fontId="60" fillId="0" borderId="14" xfId="0" applyNumberFormat="1" applyFont="1" applyBorder="1" applyAlignment="1">
      <alignment horizontal="center"/>
    </xf>
    <xf numFmtId="0" fontId="60" fillId="0" borderId="0" xfId="0" applyFont="1" applyAlignment="1">
      <alignment horizontal="center"/>
    </xf>
    <xf numFmtId="0" fontId="58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48" fillId="0" borderId="0" xfId="0" applyFont="1" applyBorder="1" applyAlignment="1" applyProtection="1">
      <alignment horizontal="left" wrapText="1"/>
    </xf>
    <xf numFmtId="0" fontId="62" fillId="0" borderId="0" xfId="0" applyFont="1"/>
    <xf numFmtId="0" fontId="62" fillId="0" borderId="0" xfId="0" applyFont="1" applyAlignment="1">
      <alignment wrapText="1"/>
    </xf>
    <xf numFmtId="0" fontId="41" fillId="0" borderId="12" xfId="0" applyFont="1" applyBorder="1" applyAlignment="1"/>
    <xf numFmtId="0" fontId="6" fillId="0" borderId="12" xfId="0" applyFont="1" applyBorder="1" applyAlignment="1"/>
    <xf numFmtId="0" fontId="6" fillId="0" borderId="12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2" fillId="0" borderId="2" xfId="0" applyFont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6" fillId="0" borderId="0" xfId="0" applyNumberFormat="1" applyFont="1" applyFill="1" applyAlignment="1" applyProtection="1">
      <alignment horizontal="center"/>
    </xf>
    <xf numFmtId="0" fontId="63" fillId="0" borderId="0" xfId="0" applyFont="1" applyFill="1" applyAlignment="1">
      <alignment horizontal="center"/>
    </xf>
    <xf numFmtId="44" fontId="7" fillId="0" borderId="0" xfId="2" applyFont="1" applyAlignment="1">
      <alignment horizontal="right"/>
    </xf>
    <xf numFmtId="0" fontId="46" fillId="0" borderId="2" xfId="1" applyFont="1" applyFill="1" applyBorder="1" applyAlignment="1" applyProtection="1">
      <alignment horizontal="center"/>
    </xf>
    <xf numFmtId="0" fontId="46" fillId="0" borderId="2" xfId="1" applyFont="1" applyFill="1" applyBorder="1" applyAlignment="1">
      <alignment horizontal="center"/>
    </xf>
    <xf numFmtId="166" fontId="0" fillId="0" borderId="12" xfId="0" applyNumberFormat="1" applyBorder="1"/>
    <xf numFmtId="166" fontId="0" fillId="0" borderId="2" xfId="0" applyNumberFormat="1" applyBorder="1"/>
    <xf numFmtId="166" fontId="0" fillId="0" borderId="17" xfId="0" applyNumberFormat="1" applyBorder="1"/>
    <xf numFmtId="166" fontId="0" fillId="0" borderId="18" xfId="0" applyNumberFormat="1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166" fontId="0" fillId="0" borderId="19" xfId="0" applyNumberFormat="1" applyBorder="1"/>
    <xf numFmtId="166" fontId="0" fillId="0" borderId="20" xfId="0" applyNumberFormat="1" applyBorder="1"/>
    <xf numFmtId="0" fontId="0" fillId="0" borderId="21" xfId="0" applyBorder="1"/>
    <xf numFmtId="0" fontId="0" fillId="0" borderId="10" xfId="0" applyBorder="1"/>
    <xf numFmtId="0" fontId="0" fillId="0" borderId="22" xfId="0" applyBorder="1"/>
    <xf numFmtId="0" fontId="0" fillId="0" borderId="23" xfId="0" applyBorder="1"/>
    <xf numFmtId="0" fontId="3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8" fillId="0" borderId="0" xfId="0" applyFont="1" applyAlignment="1" applyProtection="1">
      <alignment horizontal="left"/>
    </xf>
    <xf numFmtId="0" fontId="50" fillId="0" borderId="0" xfId="1" applyFont="1" applyFill="1" applyBorder="1" applyAlignment="1"/>
    <xf numFmtId="0" fontId="50" fillId="0" borderId="0" xfId="1" applyFont="1" applyFill="1" applyBorder="1" applyAlignment="1"/>
    <xf numFmtId="0" fontId="46" fillId="0" borderId="2" xfId="3" applyFont="1" applyBorder="1" applyAlignment="1">
      <alignment horizontal="center" wrapText="1"/>
    </xf>
    <xf numFmtId="0" fontId="49" fillId="0" borderId="0" xfId="3" applyFont="1" applyBorder="1" applyAlignment="1">
      <alignment horizontal="left"/>
    </xf>
    <xf numFmtId="0" fontId="49" fillId="0" borderId="0" xfId="3" applyFont="1" applyBorder="1" applyAlignment="1">
      <alignment horizontal="left" wrapText="1"/>
    </xf>
    <xf numFmtId="0" fontId="49" fillId="0" borderId="0" xfId="3" applyFont="1" applyBorder="1" applyAlignment="1">
      <alignment wrapText="1"/>
    </xf>
    <xf numFmtId="0" fontId="49" fillId="0" borderId="0" xfId="3" applyFont="1" applyBorder="1" applyAlignment="1"/>
    <xf numFmtId="0" fontId="50" fillId="0" borderId="0" xfId="1" applyFont="1" applyFill="1" applyBorder="1" applyAlignment="1"/>
  </cellXfs>
  <cellStyles count="5">
    <cellStyle name="Bad" xfId="1" builtinId="27"/>
    <cellStyle name="Currency" xfId="2" builtinId="4"/>
    <cellStyle name="Normal" xfId="0" builtinId="0"/>
    <cellStyle name="Normal 2" xfId="3"/>
    <cellStyle name="Normal 3" xfId="4"/>
  </cellStyles>
  <dxfs count="2"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34</xdr:row>
      <xdr:rowOff>9525</xdr:rowOff>
    </xdr:from>
    <xdr:to>
      <xdr:col>36</xdr:col>
      <xdr:colOff>0</xdr:colOff>
      <xdr:row>41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69"/>
  <sheetViews>
    <sheetView tabSelected="1" zoomScale="70" zoomScaleNormal="70" zoomScalePageLayoutView="125" workbookViewId="0"/>
  </sheetViews>
  <sheetFormatPr defaultColWidth="8.88671875" defaultRowHeight="13.2"/>
  <cols>
    <col min="1" max="1" width="53.44140625" customWidth="1"/>
    <col min="2" max="2" width="14.88671875" customWidth="1"/>
    <col min="3" max="3" width="11.88671875" style="3" customWidth="1"/>
    <col min="4" max="4" width="10.44140625" customWidth="1"/>
    <col min="5" max="5" width="12.88671875" customWidth="1"/>
    <col min="6" max="6" width="12.44140625" customWidth="1"/>
    <col min="8" max="8" width="11.44140625" customWidth="1"/>
    <col min="9" max="9" width="15.33203125" customWidth="1"/>
    <col min="10" max="10" width="15.44140625" style="197" customWidth="1"/>
    <col min="11" max="11" width="15.44140625" style="3" customWidth="1"/>
    <col min="12" max="12" width="9.33203125" customWidth="1"/>
    <col min="13" max="13" width="12.44140625" customWidth="1"/>
    <col min="14" max="14" width="11.109375" customWidth="1"/>
    <col min="15" max="15" width="12.44140625" customWidth="1"/>
    <col min="16" max="16" width="15.44140625" customWidth="1"/>
  </cols>
  <sheetData>
    <row r="1" spans="1:19" ht="17.399999999999999">
      <c r="A1" s="7" t="s">
        <v>199</v>
      </c>
      <c r="B1" s="6"/>
      <c r="C1" s="18"/>
      <c r="D1" s="6"/>
      <c r="E1" s="6"/>
      <c r="F1" s="10" t="s">
        <v>174</v>
      </c>
      <c r="G1" s="38"/>
      <c r="H1" s="6"/>
      <c r="I1" s="6"/>
      <c r="J1" s="196"/>
      <c r="K1" s="132" t="s">
        <v>92</v>
      </c>
      <c r="L1" s="6"/>
      <c r="M1" s="6"/>
      <c r="N1" s="6"/>
      <c r="O1" s="6"/>
    </row>
    <row r="2" spans="1:19">
      <c r="A2" s="6"/>
      <c r="B2" s="5" t="s">
        <v>21</v>
      </c>
      <c r="C2" s="5" t="s">
        <v>5</v>
      </c>
      <c r="D2" s="6"/>
      <c r="E2" s="10" t="s">
        <v>48</v>
      </c>
      <c r="F2" s="5" t="s">
        <v>41</v>
      </c>
      <c r="G2" s="38"/>
      <c r="H2" s="6"/>
      <c r="I2" s="6"/>
      <c r="J2" s="79" t="s">
        <v>91</v>
      </c>
      <c r="K2" s="5" t="s">
        <v>81</v>
      </c>
      <c r="L2" s="5" t="s">
        <v>43</v>
      </c>
      <c r="M2" s="10" t="s">
        <v>46</v>
      </c>
      <c r="N2" s="10" t="s">
        <v>65</v>
      </c>
      <c r="O2" s="38" t="s">
        <v>89</v>
      </c>
      <c r="P2" s="25"/>
    </row>
    <row r="3" spans="1:19">
      <c r="A3" s="6"/>
      <c r="B3" s="5" t="s">
        <v>6</v>
      </c>
      <c r="C3" s="5" t="s">
        <v>47</v>
      </c>
      <c r="D3" s="5" t="s">
        <v>67</v>
      </c>
      <c r="E3" s="5" t="s">
        <v>3</v>
      </c>
      <c r="F3" s="36" t="s">
        <v>42</v>
      </c>
      <c r="G3" s="5" t="s">
        <v>4</v>
      </c>
      <c r="H3" s="5" t="s">
        <v>36</v>
      </c>
      <c r="I3" s="2" t="s">
        <v>37</v>
      </c>
      <c r="J3" s="17" t="s">
        <v>80</v>
      </c>
      <c r="K3" s="5" t="s">
        <v>2</v>
      </c>
      <c r="L3" s="5" t="s">
        <v>44</v>
      </c>
      <c r="M3" s="5" t="s">
        <v>3</v>
      </c>
      <c r="N3" s="5" t="s">
        <v>64</v>
      </c>
      <c r="O3" s="5" t="s">
        <v>90</v>
      </c>
      <c r="S3" s="5"/>
    </row>
    <row r="4" spans="1:19" ht="18">
      <c r="A4" s="480" t="s">
        <v>186</v>
      </c>
      <c r="B4" s="59">
        <f>Paper!C68</f>
        <v>77.71875</v>
      </c>
      <c r="C4" s="248">
        <f>Static!B5</f>
        <v>50</v>
      </c>
      <c r="D4" s="272">
        <f>MSRP!L7</f>
        <v>46.64888613529606</v>
      </c>
      <c r="E4" s="59">
        <f>'Subjective Handling '!R4</f>
        <v>32</v>
      </c>
      <c r="F4" s="79">
        <f>'Fuel Economy-Endurance  '!E10</f>
        <v>200.00000000000003</v>
      </c>
      <c r="G4" s="59">
        <f>Oral!AL4</f>
        <v>71.172413793103445</v>
      </c>
      <c r="H4" s="59">
        <f>Noise!G5</f>
        <v>270</v>
      </c>
      <c r="I4" s="249">
        <f>Acceleration!E5</f>
        <v>21.558441558441558</v>
      </c>
      <c r="J4" s="248">
        <f>'Lab Emissions'!K5+'Lab Emissions'!O5</f>
        <v>304.33999999999997</v>
      </c>
      <c r="K4" s="248">
        <f>'In Service Emissions'!C6+'In Service Emissions'!I6</f>
        <v>100</v>
      </c>
      <c r="L4" s="248">
        <f>'Cold Start'!C4:C16</f>
        <v>50</v>
      </c>
      <c r="M4" s="248">
        <f>'Objective Handling'!E6</f>
        <v>25</v>
      </c>
      <c r="N4" s="248">
        <f>'Penalties and Bonuses'!J4</f>
        <v>75</v>
      </c>
      <c r="O4" s="254">
        <f>'Vehicle Weights'!G4</f>
        <v>0</v>
      </c>
      <c r="S4" s="59"/>
    </row>
    <row r="5" spans="1:19" ht="18">
      <c r="A5" s="480" t="s">
        <v>187</v>
      </c>
      <c r="B5" s="59">
        <f>Paper!D68</f>
        <v>84.214285714285708</v>
      </c>
      <c r="C5" s="248">
        <f>Static!B6</f>
        <v>50</v>
      </c>
      <c r="D5" s="272">
        <f>MSRP!L8</f>
        <v>46.560059930359252</v>
      </c>
      <c r="E5" s="59">
        <f>'Subjective Handling '!R5</f>
        <v>38.055999999999997</v>
      </c>
      <c r="F5" s="79">
        <f>'Fuel Economy-Endurance  '!E11</f>
        <v>174.51820128479659</v>
      </c>
      <c r="G5" s="59">
        <f>Oral!AL5</f>
        <v>79.55</v>
      </c>
      <c r="H5" s="59">
        <f>Noise!G6</f>
        <v>107.43416490252569</v>
      </c>
      <c r="I5" s="249">
        <f>Acceleration!E6</f>
        <v>45.064935064935057</v>
      </c>
      <c r="J5" s="248">
        <f>'Lab Emissions'!K6+'Lab Emissions'!O6</f>
        <v>68.009999999999991</v>
      </c>
      <c r="K5" s="248">
        <f>'In Service Emissions'!C7+'In Service Emissions'!I7</f>
        <v>74.588542461866908</v>
      </c>
      <c r="L5" s="248">
        <f>'Cold Start'!C5:C17</f>
        <v>50</v>
      </c>
      <c r="M5" s="248">
        <f>'Objective Handling'!E7</f>
        <v>75</v>
      </c>
      <c r="N5" s="248">
        <f>'Penalties and Bonuses'!J5</f>
        <v>100</v>
      </c>
      <c r="O5" s="254">
        <f>'Vehicle Weights'!G5</f>
        <v>0</v>
      </c>
      <c r="S5" s="59"/>
    </row>
    <row r="6" spans="1:19" ht="18">
      <c r="A6" s="480" t="s">
        <v>188</v>
      </c>
      <c r="B6" s="59">
        <f>Paper!E68</f>
        <v>85.21875</v>
      </c>
      <c r="C6" s="248">
        <f>Static!B7</f>
        <v>50</v>
      </c>
      <c r="D6" s="272">
        <f>MSRP!L9</f>
        <v>25.052540338314618</v>
      </c>
      <c r="E6" s="59">
        <f>'Subjective Handling '!R6</f>
        <v>36.5</v>
      </c>
      <c r="F6" s="79">
        <f>'Fuel Economy-Endurance  '!E12</f>
        <v>193.57601713062101</v>
      </c>
      <c r="G6" s="59">
        <f>Oral!AL6</f>
        <v>76.421875</v>
      </c>
      <c r="H6" s="59">
        <f>Noise!G7</f>
        <v>209.71607558302458</v>
      </c>
      <c r="I6" s="249">
        <f>Acceleration!E7</f>
        <v>33.246753246753229</v>
      </c>
      <c r="J6" s="248">
        <f>'Lab Emissions'!K7+'Lab Emissions'!O7</f>
        <v>326.24</v>
      </c>
      <c r="K6" s="248">
        <f>'In Service Emissions'!C8+'In Service Emissions'!I8</f>
        <v>97.350186843905476</v>
      </c>
      <c r="L6" s="248">
        <f>'Cold Start'!C6:C18</f>
        <v>50</v>
      </c>
      <c r="M6" s="248">
        <f>'Objective Handling'!E8</f>
        <v>72.985347985348028</v>
      </c>
      <c r="N6" s="248">
        <f>'Penalties and Bonuses'!J6</f>
        <v>100</v>
      </c>
      <c r="O6" s="254">
        <f>'Vehicle Weights'!G6</f>
        <v>0</v>
      </c>
      <c r="S6" s="59"/>
    </row>
    <row r="7" spans="1:19" s="167" customFormat="1" ht="18">
      <c r="A7" s="480" t="s">
        <v>189</v>
      </c>
      <c r="B7" s="59">
        <f>Paper!F68</f>
        <v>76.400000000000006</v>
      </c>
      <c r="C7" s="248">
        <f>Static!B8</f>
        <v>50</v>
      </c>
      <c r="D7" s="272">
        <f>MSRP!L10</f>
        <v>49</v>
      </c>
      <c r="E7" s="59">
        <f>'Subjective Handling '!R7</f>
        <v>31.375</v>
      </c>
      <c r="F7" s="79">
        <f>'Fuel Economy-Endurance  '!E13</f>
        <v>180.51391862955035</v>
      </c>
      <c r="G7" s="59">
        <f>Oral!AL7</f>
        <v>64.4375</v>
      </c>
      <c r="H7" s="59">
        <f>Noise!G8</f>
        <v>77.434164902525694</v>
      </c>
      <c r="I7" s="249">
        <f>Acceleration!E8</f>
        <v>41.818181818181813</v>
      </c>
      <c r="J7" s="248">
        <f>'Lab Emissions'!K8+'Lab Emissions'!O8</f>
        <v>236.94</v>
      </c>
      <c r="K7" s="248">
        <f>'In Service Emissions'!C9+'In Service Emissions'!I9</f>
        <v>93.02872236209376</v>
      </c>
      <c r="L7" s="248">
        <f>'Cold Start'!C7:C19</f>
        <v>50</v>
      </c>
      <c r="M7" s="248">
        <f>'Objective Handling'!E9</f>
        <v>66.483516483516496</v>
      </c>
      <c r="N7" s="248">
        <f>'Penalties and Bonuses'!J7</f>
        <v>0</v>
      </c>
      <c r="O7" s="254">
        <f>'Vehicle Weights'!G7</f>
        <v>0</v>
      </c>
      <c r="S7" s="248"/>
    </row>
    <row r="8" spans="1:19" s="167" customFormat="1" ht="18">
      <c r="A8" s="480" t="s">
        <v>190</v>
      </c>
      <c r="B8" s="59">
        <f>Paper!G68</f>
        <v>70.411764705882348</v>
      </c>
      <c r="C8" s="248">
        <f>Static!B9</f>
        <v>50</v>
      </c>
      <c r="D8" s="272">
        <f>MSRP!L11</f>
        <v>24.722860810847038</v>
      </c>
      <c r="E8" s="59">
        <f>'Subjective Handling '!R8</f>
        <v>38.35</v>
      </c>
      <c r="F8" s="79">
        <f>'Fuel Economy-Endurance  '!E14</f>
        <v>100</v>
      </c>
      <c r="G8" s="59">
        <f>Oral!AL8</f>
        <v>69.5</v>
      </c>
      <c r="H8" s="59">
        <f>Noise!G9</f>
        <v>7.5</v>
      </c>
      <c r="I8" s="249">
        <f>Acceleration!E9</f>
        <v>49.999999999999986</v>
      </c>
      <c r="J8" s="248">
        <f>'Lab Emissions'!K9+'Lab Emissions'!O9</f>
        <v>215.41</v>
      </c>
      <c r="K8" s="248">
        <f>'In Service Emissions'!C10+'In Service Emissions'!I10</f>
        <v>71.623750159546219</v>
      </c>
      <c r="L8" s="248">
        <f>'Cold Start'!C8:C20</f>
        <v>50</v>
      </c>
      <c r="M8" s="248">
        <f>'Objective Handling'!E10</f>
        <v>63.553113553113576</v>
      </c>
      <c r="N8" s="248">
        <f>'Penalties and Bonuses'!J8</f>
        <v>0</v>
      </c>
      <c r="O8" s="254">
        <f>'Vehicle Weights'!G8</f>
        <v>0</v>
      </c>
      <c r="S8" s="248"/>
    </row>
    <row r="9" spans="1:19" s="31" customFormat="1" ht="18">
      <c r="A9" s="480" t="s">
        <v>191</v>
      </c>
      <c r="B9" s="284">
        <f>Paper!H68</f>
        <v>82.84210526315789</v>
      </c>
      <c r="C9" s="489">
        <f>Static!B10</f>
        <v>50</v>
      </c>
      <c r="D9" s="272">
        <f>MSRP!L12</f>
        <v>22</v>
      </c>
      <c r="E9" s="59">
        <f>'Subjective Handling '!R9</f>
        <v>40.15</v>
      </c>
      <c r="F9" s="79">
        <f>'Fuel Economy-Endurance  '!E15</f>
        <v>128.26552462526769</v>
      </c>
      <c r="G9" s="59">
        <f>Oral!AL9</f>
        <v>77.53125</v>
      </c>
      <c r="H9" s="59">
        <f>Noise!G10</f>
        <v>7.5</v>
      </c>
      <c r="I9" s="249">
        <f>Acceleration!E10</f>
        <v>48.701298701298697</v>
      </c>
      <c r="J9" s="248">
        <f>'Lab Emissions'!K10+'Lab Emissions'!O10</f>
        <v>271.45999999999998</v>
      </c>
      <c r="K9" s="248">
        <f>'In Service Emissions'!C11+'In Service Emissions'!I11</f>
        <v>76.958293653985891</v>
      </c>
      <c r="L9" s="248">
        <f>'Cold Start'!C9:C21</f>
        <v>50</v>
      </c>
      <c r="M9" s="248">
        <f>'Objective Handling'!E11</f>
        <v>46.703296703296701</v>
      </c>
      <c r="N9" s="248">
        <f>'Penalties and Bonuses'!J9</f>
        <v>100</v>
      </c>
      <c r="O9" s="254">
        <f>'Vehicle Weights'!G9</f>
        <v>0</v>
      </c>
      <c r="S9" s="284"/>
    </row>
    <row r="10" spans="1:19" ht="18">
      <c r="A10" s="480" t="s">
        <v>192</v>
      </c>
      <c r="B10" s="59">
        <f>Paper!I68</f>
        <v>73.900000000000006</v>
      </c>
      <c r="C10" s="248">
        <f>Static!B11</f>
        <v>50</v>
      </c>
      <c r="D10" s="272">
        <f>MSRP!L13</f>
        <v>36.336050851445982</v>
      </c>
      <c r="E10" s="59">
        <f>'Subjective Handling '!R10</f>
        <v>37.299999999999997</v>
      </c>
      <c r="F10" s="79">
        <f>'Fuel Economy-Endurance  '!E16</f>
        <v>0</v>
      </c>
      <c r="G10" s="59">
        <f>Oral!AL10</f>
        <v>63.883333333333333</v>
      </c>
      <c r="H10" s="59">
        <f>Noise!G11</f>
        <v>7.5</v>
      </c>
      <c r="I10" s="249">
        <f>Acceleration!E11</f>
        <v>43.116883116883102</v>
      </c>
      <c r="J10" s="248">
        <f>'Lab Emissions'!K11+'Lab Emissions'!O11</f>
        <v>50.55</v>
      </c>
      <c r="K10" s="248">
        <f>'In Service Emissions'!C12+'In Service Emissions'!I12</f>
        <v>69.150903455104356</v>
      </c>
      <c r="L10" s="248">
        <f>'Cold Start'!C10:C22</f>
        <v>50</v>
      </c>
      <c r="M10" s="248">
        <f>'Objective Handling'!E12</f>
        <v>74.725274725274744</v>
      </c>
      <c r="N10" s="248">
        <f>'Penalties and Bonuses'!J10</f>
        <v>-50</v>
      </c>
      <c r="O10" s="254">
        <f>'Vehicle Weights'!G10</f>
        <v>0</v>
      </c>
      <c r="S10" s="59"/>
    </row>
    <row r="11" spans="1:19" ht="18">
      <c r="A11" s="480" t="s">
        <v>193</v>
      </c>
      <c r="B11" s="59">
        <f>Paper!J68</f>
        <v>80.763888888888886</v>
      </c>
      <c r="C11" s="248">
        <f>Static!B12</f>
        <v>50</v>
      </c>
      <c r="D11" s="272">
        <f>MSRP!L14</f>
        <v>38.982574920395678</v>
      </c>
      <c r="E11" s="59">
        <f>'Subjective Handling '!R11</f>
        <v>35.9</v>
      </c>
      <c r="F11" s="79">
        <f>'Fuel Economy-Endurance  '!E17</f>
        <v>159.52890792291223</v>
      </c>
      <c r="G11" s="59">
        <f>Oral!AL11</f>
        <v>63.06666666666667</v>
      </c>
      <c r="H11" s="59">
        <f>Noise!G12</f>
        <v>7.5</v>
      </c>
      <c r="I11" s="249">
        <f>Acceleration!E12</f>
        <v>46.233766233766218</v>
      </c>
      <c r="J11" s="248">
        <f>'Lab Emissions'!K12+'Lab Emissions'!O12</f>
        <v>279.7</v>
      </c>
      <c r="K11" s="248">
        <f>'In Service Emissions'!C13+'In Service Emissions'!I13</f>
        <v>84.444478038955282</v>
      </c>
      <c r="L11" s="248">
        <f>'Cold Start'!C11:C23</f>
        <v>0</v>
      </c>
      <c r="M11" s="248">
        <f>'Objective Handling'!E13</f>
        <v>27.289377289377285</v>
      </c>
      <c r="N11" s="248">
        <f>'Penalties and Bonuses'!J11</f>
        <v>100</v>
      </c>
      <c r="O11" s="254">
        <f>'Vehicle Weights'!G11</f>
        <v>0</v>
      </c>
      <c r="S11" s="59"/>
    </row>
    <row r="12" spans="1:19" s="31" customFormat="1" ht="18">
      <c r="A12" s="480" t="s">
        <v>194</v>
      </c>
      <c r="B12" s="284">
        <f>Paper!K68</f>
        <v>65.96875</v>
      </c>
      <c r="C12" s="489">
        <f>Static!B13</f>
        <v>50</v>
      </c>
      <c r="D12" s="272">
        <f>MSRP!L15</f>
        <v>28.968259547305369</v>
      </c>
      <c r="E12" s="59">
        <f>'Subjective Handling '!R12</f>
        <v>42.389000000000003</v>
      </c>
      <c r="F12" s="79">
        <f>'Fuel Economy-Endurance  '!E18</f>
        <v>120.77087794432552</v>
      </c>
      <c r="G12" s="59">
        <f>Oral!AL12</f>
        <v>58.896551724137929</v>
      </c>
      <c r="H12" s="59">
        <f>Noise!G13</f>
        <v>0</v>
      </c>
      <c r="I12" s="249">
        <f>Acceleration!E13</f>
        <v>49.610389610389589</v>
      </c>
      <c r="J12" s="248">
        <f>'Lab Emissions'!K13+'Lab Emissions'!O13</f>
        <v>65.09</v>
      </c>
      <c r="K12" s="248">
        <f>'In Service Emissions'!C14+'In Service Emissions'!I14</f>
        <v>69.083337383597538</v>
      </c>
      <c r="L12" s="248">
        <f>'Cold Start'!C12:C24</f>
        <v>50</v>
      </c>
      <c r="M12" s="248">
        <f>'Objective Handling'!E14</f>
        <v>64.102564102564145</v>
      </c>
      <c r="N12" s="248">
        <f>'Penalties and Bonuses'!J12</f>
        <v>0</v>
      </c>
      <c r="O12" s="254">
        <f>'Vehicle Weights'!G12</f>
        <v>0</v>
      </c>
      <c r="S12" s="284"/>
    </row>
    <row r="13" spans="1:19" s="140" customFormat="1" ht="18">
      <c r="A13" s="480" t="s">
        <v>195</v>
      </c>
      <c r="B13" s="59">
        <f>Paper!L68</f>
        <v>63.097222222222221</v>
      </c>
      <c r="C13" s="248">
        <f>Static!B14</f>
        <v>50</v>
      </c>
      <c r="D13" s="272">
        <f>MSRP!L16</f>
        <v>33.606491065551069</v>
      </c>
      <c r="E13" s="59">
        <f>'Subjective Handling '!R13</f>
        <v>41.55</v>
      </c>
      <c r="F13" s="79">
        <f>'Fuel Economy-Endurance  '!E19</f>
        <v>111.77730192719486</v>
      </c>
      <c r="G13" s="59">
        <f>Oral!AL13</f>
        <v>59.931034482758619</v>
      </c>
      <c r="H13" s="59">
        <f>Noise!G14</f>
        <v>7.5</v>
      </c>
      <c r="I13" s="249">
        <f>Acceleration!E14</f>
        <v>32.857142857142861</v>
      </c>
      <c r="J13" s="248">
        <f>'Lab Emissions'!K14+'Lab Emissions'!O14</f>
        <v>66.67</v>
      </c>
      <c r="K13" s="248">
        <f>'In Service Emissions'!C15+'In Service Emissions'!I15</f>
        <v>64.102873462814159</v>
      </c>
      <c r="L13" s="248">
        <f>'Cold Start'!C13:C25</f>
        <v>50</v>
      </c>
      <c r="M13" s="248">
        <f>'Objective Handling'!E15</f>
        <v>0</v>
      </c>
      <c r="N13" s="248">
        <f>'Penalties and Bonuses'!J13</f>
        <v>100</v>
      </c>
      <c r="O13" s="254">
        <f>'Vehicle Weights'!G13</f>
        <v>0</v>
      </c>
      <c r="P13" s="167"/>
      <c r="S13" s="154"/>
    </row>
    <row r="14" spans="1:19" ht="18">
      <c r="A14" s="480" t="s">
        <v>196</v>
      </c>
      <c r="B14" s="59">
        <f>Paper!M68</f>
        <v>76.5</v>
      </c>
      <c r="C14" s="248">
        <f>Static!B15</f>
        <v>50</v>
      </c>
      <c r="D14" s="272">
        <f>MSRP!L17</f>
        <v>35.998540463417754</v>
      </c>
      <c r="E14" s="59">
        <f>'Subjective Handling '!R14</f>
        <v>31.55</v>
      </c>
      <c r="F14" s="79">
        <f>'Fuel Economy-Endurance  '!E20</f>
        <v>0</v>
      </c>
      <c r="G14" s="59">
        <f>Oral!AL14</f>
        <v>72.120689655172413</v>
      </c>
      <c r="H14" s="59">
        <f>Noise!G15</f>
        <v>7.5</v>
      </c>
      <c r="I14" s="249">
        <f>Acceleration!E15</f>
        <v>21.038961038961048</v>
      </c>
      <c r="J14" s="248">
        <f>'Lab Emissions'!K15+'Lab Emissions'!O15</f>
        <v>0</v>
      </c>
      <c r="K14" s="248">
        <f>'In Service Emissions'!C16+'In Service Emissions'!I16</f>
        <v>79.040295346411966</v>
      </c>
      <c r="L14" s="248">
        <f>'Cold Start'!C14:C26</f>
        <v>0</v>
      </c>
      <c r="M14" s="248">
        <f>'Objective Handling'!E16</f>
        <v>44.688644688644672</v>
      </c>
      <c r="N14" s="248">
        <f>'Penalties and Bonuses'!J14</f>
        <v>-50</v>
      </c>
      <c r="O14" s="254">
        <f>'Vehicle Weights'!G14</f>
        <v>0</v>
      </c>
    </row>
    <row r="15" spans="1:19" ht="18">
      <c r="A15" s="480" t="s">
        <v>197</v>
      </c>
      <c r="B15" s="59">
        <f>Paper!N68</f>
        <v>29.588235294117649</v>
      </c>
      <c r="C15" s="248">
        <f>Static!B16</f>
        <v>50</v>
      </c>
      <c r="D15" s="272">
        <f>MSRP!L18</f>
        <v>30.972498160686037</v>
      </c>
      <c r="E15" s="59">
        <f>'Subjective Handling '!R15</f>
        <v>32.363999999999997</v>
      </c>
      <c r="F15" s="79">
        <f>'Fuel Economy-Endurance  '!E21</f>
        <v>145.18201284796575</v>
      </c>
      <c r="G15" s="59">
        <f>Oral!AL15</f>
        <v>47.916666666666664</v>
      </c>
      <c r="H15" s="59">
        <f>Noise!G16</f>
        <v>137.43416490252571</v>
      </c>
      <c r="I15" s="249">
        <f>Acceleration!E16</f>
        <v>0</v>
      </c>
      <c r="J15" s="248">
        <f>'Lab Emissions'!K16+'Lab Emissions'!O16</f>
        <v>0</v>
      </c>
      <c r="K15" s="248">
        <f>'In Service Emissions'!C17+'In Service Emissions'!I17</f>
        <v>2.5</v>
      </c>
      <c r="L15" s="248">
        <f>'Cold Start'!C15:C27</f>
        <v>50</v>
      </c>
      <c r="M15" s="248">
        <v>0</v>
      </c>
      <c r="N15" s="248">
        <f>'Penalties and Bonuses'!J15</f>
        <v>50</v>
      </c>
      <c r="O15" s="254">
        <f>'Vehicle Weights'!G15</f>
        <v>0</v>
      </c>
    </row>
    <row r="16" spans="1:19" ht="18">
      <c r="A16" s="480" t="s">
        <v>198</v>
      </c>
      <c r="B16" s="59">
        <f>Paper!O68</f>
        <v>49.05263157894737</v>
      </c>
      <c r="C16" s="248">
        <f>Static!B17</f>
        <v>50</v>
      </c>
      <c r="D16" s="272">
        <f>MSRP!L19</f>
        <v>29.478838208880532</v>
      </c>
      <c r="E16" s="59">
        <f>'Subjective Handling '!R16</f>
        <v>0</v>
      </c>
      <c r="F16" s="79">
        <f>'Fuel Economy-Endurance  '!E22</f>
        <v>0</v>
      </c>
      <c r="G16" s="59">
        <f>Oral!AL16</f>
        <v>59.775862068965516</v>
      </c>
      <c r="H16" s="59">
        <f>Noise!G17</f>
        <v>0</v>
      </c>
      <c r="I16" s="249">
        <f>Acceleration!E17</f>
        <v>25.584415584415581</v>
      </c>
      <c r="J16" s="248">
        <f>'Lab Emissions'!K17+'Lab Emissions'!O17</f>
        <v>22.5</v>
      </c>
      <c r="K16" s="248">
        <f>'In Service Emissions'!C18+'In Service Emissions'!I18</f>
        <v>54.621383811735868</v>
      </c>
      <c r="L16" s="248">
        <f>'Cold Start'!C16:C28</f>
        <v>0</v>
      </c>
      <c r="M16" s="248">
        <f>'Objective Handling'!E18</f>
        <v>71.520146520146511</v>
      </c>
      <c r="N16" s="248">
        <f>'Penalties and Bonuses'!J16</f>
        <v>0</v>
      </c>
      <c r="O16" s="254">
        <f>'Vehicle Weights'!G16</f>
        <v>0</v>
      </c>
    </row>
    <row r="17" spans="1:15">
      <c r="B17" s="2" t="s">
        <v>45</v>
      </c>
      <c r="C17" s="2" t="s">
        <v>45</v>
      </c>
      <c r="D17" s="2" t="s">
        <v>45</v>
      </c>
      <c r="E17" s="2" t="s">
        <v>45</v>
      </c>
      <c r="F17" s="2" t="s">
        <v>45</v>
      </c>
      <c r="G17" s="2" t="s">
        <v>45</v>
      </c>
      <c r="H17" s="2" t="s">
        <v>45</v>
      </c>
      <c r="I17" s="2" t="s">
        <v>45</v>
      </c>
      <c r="J17" s="2" t="s">
        <v>45</v>
      </c>
      <c r="K17" s="2" t="s">
        <v>45</v>
      </c>
      <c r="L17" s="2" t="s">
        <v>45</v>
      </c>
      <c r="M17" s="2" t="s">
        <v>45</v>
      </c>
      <c r="N17" s="13"/>
      <c r="O17" s="2" t="s">
        <v>45</v>
      </c>
    </row>
    <row r="18" spans="1:15">
      <c r="A18" s="10"/>
      <c r="B18" s="20" t="s">
        <v>19</v>
      </c>
      <c r="C18" s="17" t="s">
        <v>19</v>
      </c>
      <c r="D18" s="17" t="s">
        <v>22</v>
      </c>
      <c r="E18" s="34" t="s">
        <v>45</v>
      </c>
      <c r="F18" s="17"/>
      <c r="G18" s="33"/>
      <c r="H18" s="33"/>
      <c r="I18" s="65"/>
      <c r="L18" s="53"/>
      <c r="M18" s="35"/>
      <c r="N18" s="9"/>
      <c r="O18" s="6"/>
    </row>
    <row r="19" spans="1:15">
      <c r="A19" s="6"/>
      <c r="B19" s="20" t="s">
        <v>18</v>
      </c>
      <c r="C19" s="20" t="s">
        <v>21</v>
      </c>
      <c r="D19" s="5" t="s">
        <v>23</v>
      </c>
      <c r="E19" s="20"/>
      <c r="F19" s="5"/>
      <c r="G19" s="20" t="s">
        <v>24</v>
      </c>
      <c r="H19" s="20" t="s">
        <v>26</v>
      </c>
      <c r="L19" s="53"/>
      <c r="M19" s="35"/>
      <c r="N19" s="9"/>
      <c r="O19" s="6"/>
    </row>
    <row r="20" spans="1:15">
      <c r="A20" s="6"/>
      <c r="B20" s="20" t="s">
        <v>20</v>
      </c>
      <c r="C20" s="20" t="s">
        <v>20</v>
      </c>
      <c r="D20" s="5" t="s">
        <v>20</v>
      </c>
      <c r="E20" s="20"/>
      <c r="F20" s="5"/>
      <c r="G20" s="20" t="s">
        <v>9</v>
      </c>
      <c r="H20" s="20" t="s">
        <v>25</v>
      </c>
      <c r="L20" s="53"/>
      <c r="M20" s="35"/>
      <c r="N20" s="9"/>
      <c r="O20" s="6"/>
    </row>
    <row r="21" spans="1:15" ht="14.4">
      <c r="A21" s="417" t="s">
        <v>186</v>
      </c>
      <c r="B21" s="79">
        <f>IF(AND(H4&gt;8,J4&gt;69,I4&gt;0),(I4+M4),"Not Eligible")</f>
        <v>46.558441558441558</v>
      </c>
      <c r="C21" s="79">
        <f>IF(AND(J4&gt;69,H4&gt;8,I4&gt;0),(B4+G4+C4),"Not Eligible")</f>
        <v>198.89116379310343</v>
      </c>
      <c r="D21" s="373">
        <f>(H4+'Lab Emissions'!K5)/MSRP!C7</f>
        <v>5.1259951331488869E-2</v>
      </c>
      <c r="E21" s="159"/>
      <c r="F21" s="373"/>
      <c r="G21" s="17">
        <f t="shared" ref="G21:G33" si="0">SUM(B4:O4)</f>
        <v>1323.438491486841</v>
      </c>
      <c r="H21" s="5">
        <f t="shared" ref="H21:H33" si="1">RANK(G21,$G$21:$G$33)</f>
        <v>2</v>
      </c>
      <c r="I21" s="160"/>
      <c r="L21" s="53"/>
      <c r="M21" s="35"/>
      <c r="N21" s="19"/>
      <c r="O21" s="6"/>
    </row>
    <row r="22" spans="1:15" ht="14.4">
      <c r="A22" s="417" t="s">
        <v>187</v>
      </c>
      <c r="B22" s="79" t="str">
        <f t="shared" ref="B22:B33" si="2">IF(AND(H5&gt;8,J5&gt;69,I5&gt;0),(I5+M5),"Not Eligible")</f>
        <v>Not Eligible</v>
      </c>
      <c r="C22" s="79" t="str">
        <f t="shared" ref="C22:C33" si="3">IF(AND(J5&gt;69,H5&gt;8,I5&gt;0),(B5+G5+C5),"Not Eligible")</f>
        <v>Not Eligible</v>
      </c>
      <c r="D22" s="373">
        <f>(H5+'Lab Emissions'!K6)/MSRP!C8</f>
        <v>1.1692280475504697E-2</v>
      </c>
      <c r="E22" s="159"/>
      <c r="F22" s="373"/>
      <c r="G22" s="17">
        <f t="shared" si="0"/>
        <v>992.99618935876924</v>
      </c>
      <c r="H22" s="5">
        <f t="shared" si="1"/>
        <v>5</v>
      </c>
      <c r="L22" s="53"/>
      <c r="M22" s="35"/>
      <c r="N22" s="19"/>
      <c r="O22" s="6"/>
    </row>
    <row r="23" spans="1:15" s="167" customFormat="1" ht="14.4">
      <c r="A23" s="417" t="s">
        <v>188</v>
      </c>
      <c r="B23" s="79">
        <f t="shared" si="2"/>
        <v>106.23210123210126</v>
      </c>
      <c r="C23" s="79">
        <f t="shared" si="3"/>
        <v>211.640625</v>
      </c>
      <c r="D23" s="373">
        <f>(H6+'Lab Emissions'!K7)/MSRP!C9</f>
        <v>4.0661390994865369E-2</v>
      </c>
      <c r="E23" s="159"/>
      <c r="F23" s="373"/>
      <c r="G23" s="17">
        <f t="shared" si="0"/>
        <v>1356.3075461279668</v>
      </c>
      <c r="H23" s="5">
        <f t="shared" si="1"/>
        <v>1</v>
      </c>
      <c r="J23" s="255"/>
      <c r="K23" s="240"/>
      <c r="L23" s="256"/>
      <c r="M23" s="253"/>
      <c r="N23" s="257"/>
      <c r="O23" s="245"/>
    </row>
    <row r="24" spans="1:15" ht="14.4">
      <c r="A24" s="375" t="s">
        <v>189</v>
      </c>
      <c r="B24" s="79">
        <f t="shared" si="2"/>
        <v>108.30169830169831</v>
      </c>
      <c r="C24" s="79">
        <f t="shared" si="3"/>
        <v>190.83750000000001</v>
      </c>
      <c r="D24" s="373">
        <f>(H7+'Lab Emissions'!K8)/MSRP!C10</f>
        <v>2.6843775781085672E-2</v>
      </c>
      <c r="E24" s="159"/>
      <c r="F24" s="373"/>
      <c r="G24" s="17">
        <f t="shared" si="0"/>
        <v>1017.4310041958681</v>
      </c>
      <c r="H24" s="5">
        <f t="shared" si="1"/>
        <v>3</v>
      </c>
      <c r="L24" s="53"/>
      <c r="M24" s="35"/>
      <c r="N24" s="19"/>
      <c r="O24" s="6"/>
    </row>
    <row r="25" spans="1:15" ht="14.4">
      <c r="A25" s="417" t="s">
        <v>190</v>
      </c>
      <c r="B25" s="79" t="str">
        <f t="shared" si="2"/>
        <v>Not Eligible</v>
      </c>
      <c r="C25" s="79" t="str">
        <f t="shared" si="3"/>
        <v>Not Eligible</v>
      </c>
      <c r="D25" s="373">
        <f>(H8+'Lab Emissions'!K9)/MSRP!C11</f>
        <v>1.1705146527043572E-2</v>
      </c>
      <c r="E25" s="159"/>
      <c r="F25" s="373"/>
      <c r="G25" s="17">
        <f t="shared" si="0"/>
        <v>811.07148922938916</v>
      </c>
      <c r="H25" s="5">
        <f t="shared" si="1"/>
        <v>7</v>
      </c>
      <c r="L25" s="53"/>
      <c r="M25" s="35"/>
      <c r="N25" s="19"/>
      <c r="O25" s="6"/>
    </row>
    <row r="26" spans="1:15" ht="14.4">
      <c r="A26" s="417" t="s">
        <v>191</v>
      </c>
      <c r="B26" s="79" t="str">
        <f t="shared" si="2"/>
        <v>Not Eligible</v>
      </c>
      <c r="C26" s="79" t="str">
        <f t="shared" si="3"/>
        <v>Not Eligible</v>
      </c>
      <c r="D26" s="373">
        <f>(H9+'Lab Emissions'!K10)/MSRP!C12</f>
        <v>1.2958075382037968E-2</v>
      </c>
      <c r="E26" s="159"/>
      <c r="F26" s="373"/>
      <c r="G26" s="17">
        <f t="shared" si="0"/>
        <v>1002.1117689470068</v>
      </c>
      <c r="H26" s="5">
        <f t="shared" si="1"/>
        <v>4</v>
      </c>
      <c r="I26" s="160"/>
      <c r="L26" s="53"/>
      <c r="M26" s="35"/>
      <c r="N26" s="19"/>
      <c r="O26" s="6"/>
    </row>
    <row r="27" spans="1:15" ht="14.4">
      <c r="A27" s="375" t="s">
        <v>192</v>
      </c>
      <c r="B27" s="79" t="str">
        <f t="shared" si="2"/>
        <v>Not Eligible</v>
      </c>
      <c r="C27" s="79" t="str">
        <f t="shared" si="3"/>
        <v>Not Eligible</v>
      </c>
      <c r="D27" s="373">
        <f>(H10+'Lab Emissions'!K11)/MSRP!C13</f>
        <v>1.8618960601602314E-3</v>
      </c>
      <c r="E27" s="159"/>
      <c r="F27" s="373"/>
      <c r="G27" s="17">
        <f t="shared" si="0"/>
        <v>506.46244548204152</v>
      </c>
      <c r="H27" s="5">
        <f t="shared" si="1"/>
        <v>11</v>
      </c>
      <c r="L27" s="53"/>
      <c r="M27" s="35"/>
      <c r="N27" s="19"/>
      <c r="O27" s="6"/>
    </row>
    <row r="28" spans="1:15" ht="14.4">
      <c r="A28" s="417" t="s">
        <v>193</v>
      </c>
      <c r="B28" s="79" t="str">
        <f t="shared" si="2"/>
        <v>Not Eligible</v>
      </c>
      <c r="C28" s="79" t="str">
        <f t="shared" si="3"/>
        <v>Not Eligible</v>
      </c>
      <c r="D28" s="373">
        <f>(H11+'Lab Emissions'!K12)/MSRP!C14</f>
        <v>2.2426501792161494E-2</v>
      </c>
      <c r="E28" s="159"/>
      <c r="F28" s="373"/>
      <c r="G28" s="17">
        <f t="shared" si="0"/>
        <v>973.40965996096224</v>
      </c>
      <c r="H28" s="5">
        <f t="shared" si="1"/>
        <v>6</v>
      </c>
      <c r="L28" s="53"/>
      <c r="M28" s="35"/>
      <c r="N28" s="19"/>
      <c r="O28" s="6"/>
    </row>
    <row r="29" spans="1:15" ht="14.4">
      <c r="A29" s="417" t="s">
        <v>194</v>
      </c>
      <c r="B29" s="79" t="str">
        <f t="shared" si="2"/>
        <v>Not Eligible</v>
      </c>
      <c r="C29" s="79" t="str">
        <f t="shared" si="3"/>
        <v>Not Eligible</v>
      </c>
      <c r="D29" s="373">
        <f>(H12+'Lab Emissions'!K13)/MSRP!C15</f>
        <v>1.5099330948645667E-3</v>
      </c>
      <c r="E29" s="159"/>
      <c r="F29" s="373"/>
      <c r="G29" s="17">
        <f t="shared" si="0"/>
        <v>664.87973031232013</v>
      </c>
      <c r="H29" s="5">
        <f t="shared" si="1"/>
        <v>9</v>
      </c>
      <c r="L29" s="53"/>
      <c r="M29" s="35"/>
      <c r="N29" s="19"/>
      <c r="O29" s="6"/>
    </row>
    <row r="30" spans="1:15" s="167" customFormat="1" ht="14.4">
      <c r="A30" s="417" t="s">
        <v>195</v>
      </c>
      <c r="B30" s="79" t="str">
        <f t="shared" si="2"/>
        <v>Not Eligible</v>
      </c>
      <c r="C30" s="79" t="str">
        <f t="shared" si="3"/>
        <v>Not Eligible</v>
      </c>
      <c r="D30" s="373">
        <f>(H13+'Lab Emissions'!K14)/MSRP!C16</f>
        <v>2.1898164774532517E-3</v>
      </c>
      <c r="E30" s="159"/>
      <c r="F30" s="373"/>
      <c r="G30" s="17">
        <f t="shared" si="0"/>
        <v>681.09206601768369</v>
      </c>
      <c r="H30" s="5">
        <f t="shared" si="1"/>
        <v>8</v>
      </c>
      <c r="J30" s="255"/>
      <c r="K30" s="240"/>
      <c r="L30" s="256"/>
      <c r="M30" s="253"/>
      <c r="N30" s="257"/>
      <c r="O30" s="245"/>
    </row>
    <row r="31" spans="1:15" ht="14.4">
      <c r="A31" s="417" t="s">
        <v>196</v>
      </c>
      <c r="B31" s="79" t="str">
        <f t="shared" si="2"/>
        <v>Not Eligible</v>
      </c>
      <c r="C31" s="79" t="str">
        <f t="shared" si="3"/>
        <v>Not Eligible</v>
      </c>
      <c r="D31" s="373">
        <f>(H14+'Lab Emissions'!K15)/MSRP!C17</f>
        <v>4.7616523187500858E-4</v>
      </c>
      <c r="E31" s="159"/>
      <c r="F31" s="373"/>
      <c r="G31" s="17">
        <f t="shared" si="0"/>
        <v>368.43713119260792</v>
      </c>
      <c r="H31" s="5">
        <f t="shared" si="1"/>
        <v>12</v>
      </c>
      <c r="L31" s="53"/>
      <c r="M31" s="35"/>
      <c r="N31" s="19"/>
      <c r="O31" s="6"/>
    </row>
    <row r="32" spans="1:15" ht="14.4">
      <c r="A32" s="417" t="s">
        <v>197</v>
      </c>
      <c r="B32" s="79" t="str">
        <f t="shared" si="2"/>
        <v>Not Eligible</v>
      </c>
      <c r="C32" s="79" t="str">
        <f t="shared" si="3"/>
        <v>Not Eligible</v>
      </c>
      <c r="D32" s="373">
        <f>(H15+'Lab Emissions'!K16)/MSRP!C18</f>
        <v>1.146729586800416E-2</v>
      </c>
      <c r="E32" s="159"/>
      <c r="F32" s="79"/>
      <c r="G32" s="17">
        <f t="shared" si="0"/>
        <v>575.9575778719618</v>
      </c>
      <c r="H32" s="5">
        <f t="shared" si="1"/>
        <v>10</v>
      </c>
      <c r="L32" s="53"/>
      <c r="M32" s="35"/>
      <c r="N32" s="19"/>
      <c r="O32" s="6"/>
    </row>
    <row r="33" spans="1:15" ht="14.4">
      <c r="A33" s="417" t="s">
        <v>198</v>
      </c>
      <c r="B33" s="79" t="str">
        <f t="shared" si="2"/>
        <v>Not Eligible</v>
      </c>
      <c r="C33" s="79" t="str">
        <f t="shared" si="3"/>
        <v>Not Eligible</v>
      </c>
      <c r="D33" s="373">
        <f>(H16+'Lab Emissions'!K17)/MSRP!C19</f>
        <v>1.2524320665191718E-3</v>
      </c>
      <c r="E33" s="159"/>
      <c r="F33" s="373"/>
      <c r="G33" s="17">
        <f t="shared" si="0"/>
        <v>362.53327777309141</v>
      </c>
      <c r="H33" s="5">
        <f t="shared" si="1"/>
        <v>13</v>
      </c>
    </row>
    <row r="34" spans="1:15" s="65" customFormat="1">
      <c r="A34" s="127"/>
      <c r="B34" s="184"/>
      <c r="C34" s="184"/>
      <c r="D34" s="185"/>
      <c r="E34" s="185"/>
      <c r="F34" s="185"/>
      <c r="G34" s="182"/>
      <c r="H34" s="186"/>
      <c r="I34" s="66"/>
      <c r="J34" s="37"/>
      <c r="K34" s="132"/>
      <c r="L34" s="66"/>
      <c r="M34" s="66"/>
      <c r="N34" s="66"/>
      <c r="O34" s="38"/>
    </row>
    <row r="35" spans="1:15" s="65" customFormat="1">
      <c r="A35" s="127"/>
      <c r="B35" s="253">
        <f>MAX(B21:B33)</f>
        <v>108.30169830169831</v>
      </c>
      <c r="C35" s="253">
        <f>MAX(C21:C33)</f>
        <v>211.640625</v>
      </c>
      <c r="D35" s="372">
        <f>MAX(D21:D33)</f>
        <v>5.1259951331488869E-2</v>
      </c>
      <c r="E35" s="372"/>
      <c r="F35" s="372"/>
      <c r="G35" s="182"/>
      <c r="H35" s="186"/>
      <c r="I35" s="66"/>
      <c r="J35" s="37"/>
      <c r="K35" s="132"/>
      <c r="L35" s="66"/>
      <c r="M35" s="66"/>
      <c r="N35" s="66"/>
      <c r="O35" s="38"/>
    </row>
    <row r="36" spans="1:15" s="65" customFormat="1">
      <c r="C36" s="163"/>
      <c r="F36" s="79"/>
      <c r="G36" s="37"/>
      <c r="H36" s="66"/>
      <c r="I36" s="66"/>
      <c r="J36" s="37"/>
      <c r="K36" s="132"/>
      <c r="L36" s="66"/>
      <c r="M36" s="66"/>
      <c r="N36" s="66"/>
      <c r="O36" s="38"/>
    </row>
    <row r="37" spans="1:15" s="65" customFormat="1" ht="27.6">
      <c r="A37" s="479" t="s">
        <v>184</v>
      </c>
      <c r="B37" s="513" t="s">
        <v>188</v>
      </c>
      <c r="C37" s="513"/>
      <c r="D37" s="513"/>
      <c r="E37" s="513"/>
      <c r="F37" s="79"/>
      <c r="G37" s="37"/>
      <c r="H37" s="66"/>
      <c r="I37" s="38"/>
      <c r="J37" s="198"/>
      <c r="K37" s="132"/>
      <c r="L37" s="38"/>
      <c r="M37" s="38"/>
      <c r="N37" s="38"/>
      <c r="O37" s="38"/>
    </row>
    <row r="38" spans="1:15" s="65" customFormat="1" ht="20.25" customHeight="1">
      <c r="A38" s="408" t="s">
        <v>125</v>
      </c>
      <c r="B38" s="514" t="s">
        <v>186</v>
      </c>
      <c r="C38" s="514"/>
      <c r="D38" s="514"/>
      <c r="E38" s="514"/>
      <c r="F38" s="79"/>
      <c r="G38" s="37"/>
      <c r="H38" s="66"/>
      <c r="I38" s="38"/>
      <c r="J38" s="198"/>
      <c r="K38" s="132"/>
      <c r="L38" s="38"/>
      <c r="M38" s="38"/>
      <c r="N38" s="38"/>
      <c r="O38" s="38"/>
    </row>
    <row r="39" spans="1:15" s="65" customFormat="1" ht="19.5" customHeight="1">
      <c r="A39" s="408" t="s">
        <v>126</v>
      </c>
      <c r="B39" s="513" t="s">
        <v>189</v>
      </c>
      <c r="C39" s="513"/>
      <c r="D39" s="513"/>
      <c r="E39" s="513"/>
      <c r="F39" s="79"/>
      <c r="G39" s="37"/>
      <c r="H39" s="66"/>
      <c r="I39" s="38"/>
      <c r="J39" s="198"/>
      <c r="K39" s="132"/>
      <c r="L39" s="38"/>
      <c r="M39" s="38"/>
      <c r="N39" s="38"/>
      <c r="O39" s="38"/>
    </row>
    <row r="40" spans="1:15" s="65" customFormat="1" ht="14.4" customHeight="1">
      <c r="A40" s="408" t="s">
        <v>185</v>
      </c>
      <c r="B40" s="514" t="s">
        <v>189</v>
      </c>
      <c r="C40" s="514"/>
      <c r="D40" s="514"/>
      <c r="E40" s="514"/>
      <c r="F40" s="79"/>
      <c r="G40" s="38"/>
      <c r="H40" s="38"/>
      <c r="I40" s="38"/>
      <c r="J40" s="198"/>
      <c r="K40" s="132"/>
      <c r="L40" s="38"/>
      <c r="M40" s="38"/>
      <c r="N40" s="38"/>
      <c r="O40" s="38"/>
    </row>
    <row r="41" spans="1:15" s="65" customFormat="1" ht="14.4" customHeight="1">
      <c r="A41" s="408" t="s">
        <v>86</v>
      </c>
      <c r="B41" s="513" t="s">
        <v>188</v>
      </c>
      <c r="C41" s="513"/>
      <c r="D41" s="513"/>
      <c r="E41" s="513"/>
      <c r="F41" s="79"/>
      <c r="G41" s="38"/>
      <c r="H41" s="38"/>
      <c r="I41" s="38"/>
      <c r="J41" s="198"/>
      <c r="K41" s="132"/>
      <c r="L41" s="38"/>
      <c r="M41" s="38"/>
      <c r="N41" s="38"/>
      <c r="O41" s="38"/>
    </row>
    <row r="42" spans="1:15" ht="14.4" customHeight="1">
      <c r="A42" s="409" t="s">
        <v>87</v>
      </c>
      <c r="B42" s="514" t="s">
        <v>186</v>
      </c>
      <c r="C42" s="514"/>
      <c r="D42" s="514"/>
      <c r="E42" s="514"/>
      <c r="F42" s="79"/>
    </row>
    <row r="43" spans="1:15" s="65" customFormat="1" ht="14.4" customHeight="1">
      <c r="A43" s="408" t="s">
        <v>68</v>
      </c>
      <c r="B43" s="514" t="s">
        <v>188</v>
      </c>
      <c r="C43" s="514"/>
      <c r="D43" s="514"/>
      <c r="E43" s="514"/>
      <c r="F43" s="79"/>
      <c r="G43" s="38"/>
      <c r="H43" s="38"/>
      <c r="I43" s="38"/>
      <c r="J43" s="198"/>
      <c r="K43" s="132"/>
      <c r="L43" s="38"/>
      <c r="M43" s="38"/>
      <c r="N43" s="38"/>
      <c r="O43" s="38"/>
    </row>
    <row r="44" spans="1:15" s="65" customFormat="1" ht="14.4" customHeight="1">
      <c r="A44" s="408" t="s">
        <v>69</v>
      </c>
      <c r="B44" s="515" t="s">
        <v>186</v>
      </c>
      <c r="C44" s="515"/>
      <c r="D44" s="515"/>
      <c r="E44" s="515"/>
      <c r="F44" s="79"/>
      <c r="G44" s="38"/>
      <c r="H44" s="38"/>
      <c r="I44" s="38"/>
      <c r="J44" s="198"/>
      <c r="K44" s="132"/>
      <c r="L44" s="38"/>
      <c r="M44" s="38"/>
      <c r="N44" s="38"/>
      <c r="O44" s="38"/>
    </row>
    <row r="45" spans="1:15" s="65" customFormat="1" ht="14.4" customHeight="1">
      <c r="A45" s="408" t="s">
        <v>145</v>
      </c>
      <c r="B45" s="515" t="s">
        <v>186</v>
      </c>
      <c r="C45" s="515"/>
      <c r="D45" s="515"/>
      <c r="E45" s="515"/>
      <c r="F45" s="79"/>
      <c r="G45" s="38"/>
      <c r="H45" s="38"/>
      <c r="I45" s="38"/>
      <c r="J45" s="198"/>
      <c r="K45" s="132"/>
      <c r="L45" s="38"/>
      <c r="M45" s="38"/>
      <c r="N45" s="38"/>
      <c r="O45" s="38"/>
    </row>
    <row r="46" spans="1:15" ht="14.4" customHeight="1">
      <c r="A46" s="410" t="s">
        <v>70</v>
      </c>
      <c r="B46" s="515" t="s">
        <v>186</v>
      </c>
      <c r="C46" s="515"/>
      <c r="D46" s="515"/>
      <c r="E46" s="515"/>
      <c r="F46" s="79"/>
      <c r="G46" s="38"/>
      <c r="H46" s="38"/>
      <c r="I46" s="6"/>
      <c r="J46" s="196"/>
      <c r="K46" s="18"/>
      <c r="L46" s="6"/>
      <c r="M46" s="6"/>
      <c r="N46" s="6"/>
      <c r="O46" s="6"/>
    </row>
    <row r="47" spans="1:15" ht="14.4" customHeight="1">
      <c r="A47" s="410" t="s">
        <v>315</v>
      </c>
      <c r="B47" s="515" t="s">
        <v>191</v>
      </c>
      <c r="C47" s="515"/>
      <c r="D47" s="515"/>
      <c r="E47" s="515"/>
      <c r="F47" s="79"/>
      <c r="G47" s="38"/>
      <c r="H47" s="38"/>
    </row>
    <row r="48" spans="1:15" ht="18" customHeight="1">
      <c r="A48" s="119" t="s">
        <v>73</v>
      </c>
      <c r="B48" s="516" t="s">
        <v>190</v>
      </c>
      <c r="C48" s="516"/>
      <c r="D48" s="516"/>
      <c r="E48" s="516"/>
      <c r="F48" s="79"/>
      <c r="G48" s="6"/>
      <c r="H48" s="6"/>
    </row>
    <row r="49" spans="1:11" ht="13.8">
      <c r="A49" s="119" t="s">
        <v>71</v>
      </c>
      <c r="B49" s="515" t="s">
        <v>187</v>
      </c>
      <c r="C49" s="515"/>
      <c r="D49" s="515"/>
      <c r="E49" s="515"/>
      <c r="F49" s="79"/>
    </row>
    <row r="50" spans="1:11" ht="13.8">
      <c r="A50" s="410" t="s">
        <v>128</v>
      </c>
      <c r="B50" s="517" t="s">
        <v>316</v>
      </c>
      <c r="C50" s="517"/>
      <c r="D50" s="517"/>
      <c r="E50" s="517"/>
      <c r="F50" s="17"/>
    </row>
    <row r="51" spans="1:11" ht="13.8">
      <c r="A51" s="411" t="s">
        <v>306</v>
      </c>
      <c r="B51" s="517" t="s">
        <v>191</v>
      </c>
      <c r="C51" s="517"/>
      <c r="D51" s="517"/>
      <c r="E51" s="517"/>
      <c r="F51" s="79"/>
    </row>
    <row r="52" spans="1:11" ht="13.8">
      <c r="A52" s="411" t="s">
        <v>116</v>
      </c>
      <c r="B52" s="517" t="s">
        <v>197</v>
      </c>
      <c r="C52" s="517"/>
      <c r="D52" s="517"/>
      <c r="E52" s="517"/>
      <c r="F52" s="79"/>
    </row>
    <row r="53" spans="1:11" ht="13.8">
      <c r="A53" s="410" t="s">
        <v>183</v>
      </c>
      <c r="B53" s="517" t="s">
        <v>194</v>
      </c>
      <c r="C53" s="517"/>
      <c r="D53" s="517"/>
      <c r="E53" s="517"/>
      <c r="F53" s="79"/>
    </row>
    <row r="54" spans="1:11" ht="13.8">
      <c r="A54" s="411" t="s">
        <v>127</v>
      </c>
      <c r="B54" s="517" t="s">
        <v>187</v>
      </c>
      <c r="C54" s="517"/>
      <c r="D54" s="517"/>
      <c r="E54" s="517"/>
      <c r="F54" s="79"/>
    </row>
    <row r="55" spans="1:11" ht="13.8">
      <c r="A55" s="412" t="s">
        <v>307</v>
      </c>
      <c r="B55" s="517" t="s">
        <v>195</v>
      </c>
      <c r="C55" s="517"/>
      <c r="D55" s="517"/>
      <c r="E55" s="517"/>
      <c r="F55" s="79"/>
    </row>
    <row r="56" spans="1:11" ht="13.8">
      <c r="A56" s="412" t="s">
        <v>317</v>
      </c>
      <c r="B56" s="510" t="str">
        <f>A23</f>
        <v>#4 Univ of Wisconsin - Madison</v>
      </c>
      <c r="C56" s="510"/>
      <c r="D56" s="510"/>
      <c r="E56" s="510"/>
      <c r="F56" s="79"/>
    </row>
    <row r="57" spans="1:11" ht="13.8">
      <c r="A57" s="412" t="s">
        <v>318</v>
      </c>
      <c r="B57" s="511" t="str">
        <f>A27</f>
        <v>#9 Univ of Waterloo</v>
      </c>
      <c r="C57" s="511"/>
      <c r="D57" s="511"/>
      <c r="E57" s="511"/>
      <c r="F57" s="79"/>
    </row>
    <row r="58" spans="1:11" ht="13.8">
      <c r="A58" s="411" t="s">
        <v>308</v>
      </c>
      <c r="B58" s="517" t="s">
        <v>194</v>
      </c>
      <c r="C58" s="517"/>
      <c r="D58" s="517"/>
      <c r="E58" s="517"/>
      <c r="F58" s="79"/>
    </row>
    <row r="59" spans="1:11" ht="14.4">
      <c r="A59" s="412"/>
      <c r="B59" s="512"/>
      <c r="C59" s="413"/>
      <c r="D59" s="413"/>
      <c r="E59" s="414"/>
      <c r="F59" s="79"/>
    </row>
    <row r="61" spans="1:11" ht="14.4">
      <c r="A61" s="314"/>
      <c r="B61" s="369"/>
      <c r="C61" s="171"/>
      <c r="D61" s="415"/>
      <c r="E61" s="416"/>
      <c r="F61" s="79"/>
    </row>
    <row r="62" spans="1:11" s="1" customFormat="1" ht="14.4">
      <c r="A62" s="328"/>
      <c r="B62" s="369"/>
      <c r="C62" s="17"/>
      <c r="D62" s="27"/>
      <c r="E62" s="78"/>
      <c r="F62" s="79"/>
      <c r="J62" s="200"/>
      <c r="K62" s="60"/>
    </row>
    <row r="63" spans="1:11" s="1" customFormat="1">
      <c r="A63" s="201"/>
      <c r="B63" s="370"/>
      <c r="C63" s="371"/>
      <c r="J63" s="200"/>
      <c r="K63" s="60"/>
    </row>
    <row r="64" spans="1:11" s="1" customFormat="1">
      <c r="A64" s="201"/>
      <c r="C64" s="60"/>
      <c r="J64" s="200"/>
      <c r="K64" s="60"/>
    </row>
    <row r="65" spans="1:11" s="1" customFormat="1">
      <c r="A65" s="201"/>
      <c r="C65" s="60"/>
      <c r="J65" s="200"/>
      <c r="K65" s="60"/>
    </row>
    <row r="66" spans="1:11" s="1" customFormat="1">
      <c r="A66" s="201"/>
      <c r="C66" s="60"/>
      <c r="J66" s="200"/>
      <c r="K66" s="60"/>
    </row>
    <row r="67" spans="1:11" s="1" customFormat="1">
      <c r="A67" s="201"/>
      <c r="C67" s="60"/>
      <c r="J67" s="200"/>
      <c r="K67" s="60"/>
    </row>
    <row r="68" spans="1:11" s="1" customFormat="1">
      <c r="A68" s="201"/>
      <c r="C68" s="60"/>
      <c r="J68" s="200"/>
      <c r="K68" s="60"/>
    </row>
    <row r="69" spans="1:11" s="1" customFormat="1">
      <c r="A69" s="201"/>
      <c r="C69" s="60"/>
      <c r="J69" s="200"/>
      <c r="K69" s="60"/>
    </row>
  </sheetData>
  <mergeCells count="20">
    <mergeCell ref="B48:E48"/>
    <mergeCell ref="B49:E49"/>
    <mergeCell ref="B50:E50"/>
    <mergeCell ref="B58:E58"/>
    <mergeCell ref="B51:E51"/>
    <mergeCell ref="B52:E52"/>
    <mergeCell ref="B54:E54"/>
    <mergeCell ref="B53:E53"/>
    <mergeCell ref="B55:E55"/>
    <mergeCell ref="B42:E42"/>
    <mergeCell ref="B47:E47"/>
    <mergeCell ref="B43:E43"/>
    <mergeCell ref="B44:E44"/>
    <mergeCell ref="B46:E46"/>
    <mergeCell ref="B45:E45"/>
    <mergeCell ref="B39:E39"/>
    <mergeCell ref="B40:E40"/>
    <mergeCell ref="B38:E38"/>
    <mergeCell ref="B37:E37"/>
    <mergeCell ref="B41:E41"/>
  </mergeCells>
  <phoneticPr fontId="23" type="noConversion"/>
  <printOptions gridLines="1"/>
  <pageMargins left="0.75" right="0.75" top="1" bottom="1" header="0.5" footer="0.5"/>
  <pageSetup scale="54"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K97"/>
  <sheetViews>
    <sheetView zoomScale="97" zoomScaleNormal="97" zoomScalePageLayoutView="125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R17" sqref="R17"/>
    </sheetView>
  </sheetViews>
  <sheetFormatPr defaultColWidth="8.88671875" defaultRowHeight="13.2"/>
  <cols>
    <col min="1" max="1" width="40.88671875" customWidth="1"/>
    <col min="2" max="3" width="12.44140625" style="309" customWidth="1"/>
    <col min="4" max="4" width="8.44140625" style="309" customWidth="1"/>
    <col min="5" max="5" width="12.44140625" style="309" customWidth="1"/>
    <col min="6" max="6" width="10.6640625" style="309" customWidth="1"/>
    <col min="7" max="8" width="12.44140625" style="309" customWidth="1"/>
    <col min="9" max="9" width="9.33203125" customWidth="1"/>
    <col min="10" max="10" width="9.33203125" style="362" customWidth="1"/>
    <col min="11" max="11" width="7.109375" customWidth="1"/>
    <col min="13" max="13" width="10" customWidth="1"/>
    <col min="14" max="14" width="8.664062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41" customWidth="1"/>
    <col min="25" max="25" width="10" style="41" customWidth="1"/>
    <col min="26" max="27" width="8.6640625" style="41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18" thickBot="1">
      <c r="A1" s="509" t="s">
        <v>207</v>
      </c>
      <c r="B1" s="7"/>
      <c r="C1" s="245"/>
      <c r="D1" s="245"/>
      <c r="E1" s="245"/>
      <c r="F1" s="245"/>
      <c r="G1" s="245"/>
      <c r="H1" s="245"/>
      <c r="I1" s="21"/>
      <c r="J1" s="353" t="s">
        <v>93</v>
      </c>
      <c r="K1" s="210"/>
      <c r="L1" s="210"/>
      <c r="M1" s="21"/>
      <c r="N1" s="209" t="s">
        <v>94</v>
      </c>
      <c r="O1" s="210"/>
      <c r="P1" s="210"/>
      <c r="Q1" s="28"/>
      <c r="R1" s="118"/>
      <c r="S1" s="82"/>
      <c r="T1" s="83"/>
      <c r="U1" s="83"/>
      <c r="V1" s="83"/>
      <c r="W1" s="83"/>
      <c r="X1" s="83"/>
      <c r="Y1" s="83"/>
      <c r="Z1" s="83"/>
      <c r="AA1" s="83"/>
      <c r="AB1" s="84"/>
      <c r="AC1" s="85"/>
      <c r="AD1" s="86"/>
      <c r="AE1" s="60"/>
      <c r="AF1" s="1"/>
      <c r="AG1" s="1"/>
      <c r="AH1" s="1"/>
    </row>
    <row r="2" spans="1:37" ht="18" thickBot="1">
      <c r="A2" s="407" t="s">
        <v>214</v>
      </c>
      <c r="B2" s="7"/>
      <c r="C2" s="245"/>
      <c r="D2" s="245"/>
      <c r="E2" s="245"/>
      <c r="F2" s="245"/>
      <c r="G2" s="245"/>
      <c r="H2" s="261"/>
      <c r="I2" s="24"/>
      <c r="J2" s="354" t="s">
        <v>95</v>
      </c>
      <c r="K2" s="211"/>
      <c r="L2" s="212"/>
      <c r="M2" s="21"/>
      <c r="N2" s="213" t="s">
        <v>96</v>
      </c>
      <c r="O2" s="211"/>
      <c r="P2" s="212"/>
      <c r="Q2" s="52"/>
      <c r="R2" s="120"/>
      <c r="S2" s="89"/>
      <c r="T2" s="89"/>
      <c r="U2" s="83"/>
      <c r="V2" s="83"/>
      <c r="W2" s="83"/>
      <c r="X2" s="83"/>
      <c r="Y2" s="83"/>
      <c r="Z2" s="83"/>
      <c r="AA2" s="83"/>
      <c r="AB2" s="84"/>
      <c r="AC2" s="85"/>
      <c r="AD2" s="86"/>
      <c r="AE2" s="60"/>
      <c r="AF2" s="1"/>
      <c r="AG2" s="1"/>
      <c r="AH2" s="1"/>
    </row>
    <row r="3" spans="1:37" ht="15.6">
      <c r="A3" s="406" t="s">
        <v>215</v>
      </c>
      <c r="B3" s="63"/>
      <c r="C3" s="261"/>
      <c r="D3" s="261"/>
      <c r="E3" s="261"/>
      <c r="F3" s="261"/>
      <c r="G3" s="261"/>
      <c r="J3" s="355"/>
      <c r="K3" s="24"/>
      <c r="L3" s="214"/>
      <c r="M3" s="24"/>
      <c r="N3" s="215"/>
      <c r="O3" s="24"/>
      <c r="P3" s="214"/>
      <c r="Q3" s="23"/>
      <c r="R3" s="121"/>
      <c r="S3" s="91"/>
      <c r="T3" s="89"/>
      <c r="U3" s="83"/>
      <c r="V3" s="83"/>
      <c r="W3" s="83"/>
      <c r="X3" s="83"/>
      <c r="Y3" s="83"/>
      <c r="Z3" s="83"/>
      <c r="AA3" s="83"/>
      <c r="AB3" s="84"/>
      <c r="AC3" s="85"/>
      <c r="AD3" s="86"/>
      <c r="AE3" s="60"/>
      <c r="AF3" s="1"/>
      <c r="AG3" s="1"/>
      <c r="AH3" s="1"/>
    </row>
    <row r="4" spans="1:37" ht="52.8">
      <c r="A4" s="216" t="s">
        <v>97</v>
      </c>
      <c r="B4" s="218" t="s">
        <v>98</v>
      </c>
      <c r="C4" s="217" t="s">
        <v>99</v>
      </c>
      <c r="D4" s="217" t="s">
        <v>100</v>
      </c>
      <c r="E4" s="217" t="s">
        <v>101</v>
      </c>
      <c r="F4" s="217" t="s">
        <v>102</v>
      </c>
      <c r="G4" s="218" t="s">
        <v>129</v>
      </c>
      <c r="H4" s="217" t="s">
        <v>103</v>
      </c>
      <c r="I4" s="219"/>
      <c r="J4" s="356" t="s">
        <v>104</v>
      </c>
      <c r="K4" s="218" t="s">
        <v>105</v>
      </c>
      <c r="L4" s="221" t="s">
        <v>106</v>
      </c>
      <c r="M4" s="222"/>
      <c r="N4" s="220" t="s">
        <v>107</v>
      </c>
      <c r="O4" s="218" t="s">
        <v>115</v>
      </c>
      <c r="P4" s="221" t="s">
        <v>84</v>
      </c>
      <c r="Q4" s="23"/>
      <c r="R4" s="121"/>
      <c r="S4" s="91"/>
      <c r="T4" s="89"/>
      <c r="U4" s="83"/>
      <c r="V4" s="83"/>
      <c r="W4" s="83"/>
      <c r="X4" s="83"/>
      <c r="Y4" s="83"/>
      <c r="Z4" s="83"/>
      <c r="AA4" s="83"/>
      <c r="AB4" s="84"/>
      <c r="AC4" s="85"/>
      <c r="AD4" s="86"/>
      <c r="AE4" s="60"/>
      <c r="AF4" s="1"/>
      <c r="AG4" s="1"/>
      <c r="AH4" s="1"/>
    </row>
    <row r="5" spans="1:37" ht="18">
      <c r="A5" s="480" t="s">
        <v>186</v>
      </c>
      <c r="B5" s="454"/>
      <c r="C5" s="454"/>
      <c r="D5" s="454"/>
      <c r="E5" s="454"/>
      <c r="F5" s="454"/>
      <c r="G5" s="454"/>
      <c r="H5" s="454"/>
      <c r="I5" s="403"/>
      <c r="J5">
        <v>199.31</v>
      </c>
      <c r="K5">
        <v>265.26</v>
      </c>
      <c r="L5" s="461">
        <f>RANK(K5,$K$5:$K$17)</f>
        <v>2</v>
      </c>
      <c r="M5" s="223"/>
      <c r="N5">
        <v>486.78</v>
      </c>
      <c r="O5">
        <v>39.08</v>
      </c>
      <c r="P5" s="454">
        <f>RANK(O5,$O$5:$O$17)</f>
        <v>8</v>
      </c>
      <c r="Q5" s="28"/>
      <c r="R5" s="273">
        <f>K5+O5</f>
        <v>304.33999999999997</v>
      </c>
      <c r="S5" s="82"/>
      <c r="T5" s="82"/>
      <c r="U5" s="82"/>
      <c r="V5" s="82"/>
      <c r="W5" s="82"/>
      <c r="X5" s="82"/>
      <c r="Y5" s="82"/>
      <c r="Z5" s="82"/>
      <c r="AA5" s="82"/>
      <c r="AB5" s="81"/>
      <c r="AC5" s="92"/>
      <c r="AD5" s="93"/>
    </row>
    <row r="6" spans="1:37" ht="18">
      <c r="A6" s="480" t="s">
        <v>187</v>
      </c>
      <c r="B6" s="454"/>
      <c r="C6" s="454"/>
      <c r="D6" s="454"/>
      <c r="E6" s="454"/>
      <c r="F6" s="454"/>
      <c r="G6" s="454"/>
      <c r="H6" s="454"/>
      <c r="I6" s="403"/>
      <c r="J6">
        <v>173.35</v>
      </c>
      <c r="K6">
        <v>20</v>
      </c>
      <c r="L6" s="461">
        <f t="shared" ref="L6:L17" si="0">RANK(K6,$K$5:$K$17)</f>
        <v>7</v>
      </c>
      <c r="M6" s="223"/>
      <c r="N6">
        <v>373.54</v>
      </c>
      <c r="O6">
        <v>48.01</v>
      </c>
      <c r="P6" s="454">
        <f t="shared" ref="P6:P17" si="1">RANK(O6,$O$5:$O$17)</f>
        <v>3</v>
      </c>
      <c r="Q6" s="28"/>
      <c r="R6" s="273">
        <f t="shared" ref="R6:R17" si="2">K6+O6</f>
        <v>68.009999999999991</v>
      </c>
      <c r="S6" s="82"/>
      <c r="T6" s="82"/>
      <c r="U6" s="82"/>
      <c r="V6" s="82"/>
      <c r="W6" s="82"/>
      <c r="X6" s="82"/>
      <c r="Y6" s="82"/>
      <c r="Z6" s="82"/>
      <c r="AA6" s="82"/>
      <c r="AB6" s="81"/>
      <c r="AC6" s="92"/>
      <c r="AD6" s="93"/>
      <c r="AJ6" s="31"/>
      <c r="AK6" s="31"/>
    </row>
    <row r="7" spans="1:37" ht="18">
      <c r="A7" s="480" t="s">
        <v>188</v>
      </c>
      <c r="B7" s="454"/>
      <c r="C7" s="454"/>
      <c r="D7" s="454"/>
      <c r="E7" s="454"/>
      <c r="F7" s="454"/>
      <c r="G7" s="454"/>
      <c r="H7" s="454"/>
      <c r="I7" s="455"/>
      <c r="J7">
        <v>202.69</v>
      </c>
      <c r="K7">
        <v>276.24</v>
      </c>
      <c r="L7" s="461">
        <f t="shared" si="0"/>
        <v>1</v>
      </c>
      <c r="M7" s="223"/>
      <c r="N7">
        <v>348.34</v>
      </c>
      <c r="O7">
        <v>50</v>
      </c>
      <c r="P7" s="454">
        <f t="shared" si="1"/>
        <v>1</v>
      </c>
      <c r="Q7" s="28"/>
      <c r="R7" s="273">
        <f t="shared" si="2"/>
        <v>326.24</v>
      </c>
      <c r="S7" s="82"/>
      <c r="T7" s="82"/>
      <c r="U7" s="82"/>
      <c r="V7" s="82"/>
      <c r="W7" s="82"/>
      <c r="X7" s="82"/>
      <c r="Y7" s="82"/>
      <c r="Z7" s="82"/>
      <c r="AA7" s="82"/>
      <c r="AB7" s="81"/>
      <c r="AC7" s="92"/>
      <c r="AD7" s="93"/>
      <c r="AJ7" s="31"/>
      <c r="AK7" s="31"/>
    </row>
    <row r="8" spans="1:37" s="205" customFormat="1" ht="18">
      <c r="A8" s="480" t="s">
        <v>189</v>
      </c>
      <c r="B8" s="454"/>
      <c r="C8" s="454"/>
      <c r="D8" s="454"/>
      <c r="E8" s="454"/>
      <c r="F8" s="454"/>
      <c r="G8" s="454"/>
      <c r="H8" s="454"/>
      <c r="I8" s="403"/>
      <c r="J8">
        <v>175.43</v>
      </c>
      <c r="K8">
        <v>187.65</v>
      </c>
      <c r="L8" s="461">
        <f t="shared" si="0"/>
        <v>5</v>
      </c>
      <c r="M8" s="234"/>
      <c r="N8">
        <v>357.32</v>
      </c>
      <c r="O8">
        <v>49.29</v>
      </c>
      <c r="P8" s="454">
        <f t="shared" si="1"/>
        <v>2</v>
      </c>
      <c r="Q8" s="230"/>
      <c r="R8" s="273">
        <f t="shared" si="2"/>
        <v>236.94</v>
      </c>
      <c r="S8" s="235"/>
      <c r="T8" s="235"/>
      <c r="U8" s="235"/>
      <c r="V8" s="235"/>
      <c r="W8" s="235"/>
      <c r="X8" s="235"/>
      <c r="Y8" s="235"/>
      <c r="Z8" s="235"/>
      <c r="AA8" s="235"/>
      <c r="AB8" s="208"/>
      <c r="AD8" s="206"/>
      <c r="AE8" s="206"/>
      <c r="AJ8" s="236"/>
      <c r="AK8" s="236"/>
    </row>
    <row r="9" spans="1:37" ht="18">
      <c r="A9" s="480" t="s">
        <v>190</v>
      </c>
      <c r="B9" s="454"/>
      <c r="C9" s="454"/>
      <c r="D9" s="454"/>
      <c r="E9" s="454"/>
      <c r="F9" s="454"/>
      <c r="G9" s="454"/>
      <c r="H9" s="454"/>
      <c r="I9" s="403"/>
      <c r="J9">
        <v>172.53</v>
      </c>
      <c r="K9">
        <v>178.22</v>
      </c>
      <c r="L9" s="461">
        <f t="shared" si="0"/>
        <v>6</v>
      </c>
      <c r="M9" s="234"/>
      <c r="N9">
        <v>510.72</v>
      </c>
      <c r="O9">
        <v>37.19</v>
      </c>
      <c r="P9" s="454">
        <f t="shared" si="1"/>
        <v>9</v>
      </c>
      <c r="Q9" s="28"/>
      <c r="R9" s="273">
        <f t="shared" si="2"/>
        <v>215.41</v>
      </c>
      <c r="S9" s="82"/>
      <c r="T9" s="82"/>
      <c r="U9" s="82"/>
      <c r="V9" s="82"/>
      <c r="W9" s="82"/>
      <c r="X9" s="82"/>
      <c r="Y9" s="82"/>
      <c r="Z9" s="82"/>
      <c r="AA9" s="82"/>
      <c r="AB9" s="81"/>
      <c r="AC9" s="92"/>
      <c r="AD9" s="93"/>
      <c r="AJ9" s="31"/>
      <c r="AK9" s="31"/>
    </row>
    <row r="10" spans="1:37" ht="18">
      <c r="A10" s="480" t="s">
        <v>191</v>
      </c>
      <c r="B10" s="454"/>
      <c r="C10" s="454"/>
      <c r="D10" s="454"/>
      <c r="E10" s="454"/>
      <c r="F10" s="454"/>
      <c r="G10" s="454"/>
      <c r="H10" s="454"/>
      <c r="I10" s="404"/>
      <c r="J10">
        <v>188.22</v>
      </c>
      <c r="K10">
        <v>229.22</v>
      </c>
      <c r="L10" s="461">
        <f t="shared" si="0"/>
        <v>4</v>
      </c>
      <c r="M10" s="223"/>
      <c r="N10">
        <v>446.67</v>
      </c>
      <c r="O10">
        <v>42.24</v>
      </c>
      <c r="P10" s="454">
        <f t="shared" si="1"/>
        <v>7</v>
      </c>
      <c r="Q10" s="28"/>
      <c r="R10" s="273">
        <f t="shared" si="2"/>
        <v>271.45999999999998</v>
      </c>
      <c r="S10" s="95"/>
      <c r="T10" s="95"/>
      <c r="U10" s="95"/>
      <c r="V10" s="82"/>
      <c r="W10" s="82"/>
      <c r="X10" s="82"/>
      <c r="Y10" s="82"/>
      <c r="Z10" s="82"/>
      <c r="AA10" s="82"/>
      <c r="AB10" s="81"/>
      <c r="AC10" s="92"/>
      <c r="AD10" s="93"/>
      <c r="AJ10" s="31"/>
      <c r="AK10" s="31"/>
    </row>
    <row r="11" spans="1:37" ht="18">
      <c r="A11" s="480" t="s">
        <v>192</v>
      </c>
      <c r="B11" s="454"/>
      <c r="C11" s="454"/>
      <c r="D11" s="454"/>
      <c r="E11" s="454"/>
      <c r="F11" s="454"/>
      <c r="G11" s="454"/>
      <c r="H11" s="454"/>
      <c r="I11" s="403"/>
      <c r="J11">
        <v>55.71</v>
      </c>
      <c r="K11">
        <v>20</v>
      </c>
      <c r="L11" s="461">
        <f t="shared" si="0"/>
        <v>7</v>
      </c>
      <c r="M11" s="223"/>
      <c r="N11">
        <v>594.96</v>
      </c>
      <c r="O11">
        <v>30.55</v>
      </c>
      <c r="P11" s="454">
        <f t="shared" si="1"/>
        <v>10</v>
      </c>
      <c r="Q11" s="28"/>
      <c r="R11" s="273">
        <f t="shared" si="2"/>
        <v>50.55</v>
      </c>
      <c r="S11" s="95"/>
      <c r="T11" s="95"/>
      <c r="U11" s="95"/>
      <c r="V11" s="82"/>
      <c r="W11" s="82"/>
      <c r="X11" s="82"/>
      <c r="Y11" s="82"/>
      <c r="Z11" s="82"/>
      <c r="AA11" s="82"/>
      <c r="AB11" s="81"/>
      <c r="AC11" s="92"/>
      <c r="AD11" s="93"/>
      <c r="AJ11" s="31"/>
      <c r="AK11" s="31"/>
    </row>
    <row r="12" spans="1:37" ht="18">
      <c r="A12" s="480" t="s">
        <v>193</v>
      </c>
      <c r="B12" s="454"/>
      <c r="C12" s="454"/>
      <c r="D12" s="454"/>
      <c r="E12" s="454"/>
      <c r="F12" s="454"/>
      <c r="G12" s="454"/>
      <c r="H12" s="454"/>
      <c r="I12" s="403"/>
      <c r="J12">
        <v>189.37</v>
      </c>
      <c r="K12">
        <v>232.95</v>
      </c>
      <c r="L12" s="461">
        <f t="shared" si="0"/>
        <v>3</v>
      </c>
      <c r="M12" s="223"/>
      <c r="N12">
        <v>389.58</v>
      </c>
      <c r="O12">
        <v>46.75</v>
      </c>
      <c r="P12" s="454">
        <f t="shared" si="1"/>
        <v>4</v>
      </c>
      <c r="Q12" s="28"/>
      <c r="R12" s="273">
        <f t="shared" si="2"/>
        <v>279.7</v>
      </c>
      <c r="S12" s="95"/>
      <c r="T12" s="95"/>
      <c r="U12" s="95"/>
      <c r="V12" s="82"/>
      <c r="W12" s="82"/>
      <c r="X12" s="82"/>
      <c r="Y12" s="82"/>
      <c r="Z12" s="82"/>
      <c r="AA12" s="82"/>
      <c r="AB12" s="81"/>
      <c r="AC12" s="92"/>
      <c r="AD12" s="93"/>
      <c r="AJ12" s="31"/>
      <c r="AK12" s="31"/>
    </row>
    <row r="13" spans="1:37" ht="18">
      <c r="A13" s="480" t="s">
        <v>194</v>
      </c>
      <c r="B13" s="454"/>
      <c r="C13" s="454"/>
      <c r="D13" s="454"/>
      <c r="E13" s="454"/>
      <c r="F13" s="454"/>
      <c r="G13" s="454"/>
      <c r="H13" s="454"/>
      <c r="I13" s="403"/>
      <c r="J13">
        <v>96.94</v>
      </c>
      <c r="K13">
        <v>20</v>
      </c>
      <c r="L13" s="461">
        <f t="shared" si="0"/>
        <v>7</v>
      </c>
      <c r="M13" s="223"/>
      <c r="N13">
        <v>410.65</v>
      </c>
      <c r="O13">
        <v>45.09</v>
      </c>
      <c r="P13" s="454">
        <f t="shared" si="1"/>
        <v>6</v>
      </c>
      <c r="Q13" s="28"/>
      <c r="R13" s="273">
        <f t="shared" si="2"/>
        <v>65.09</v>
      </c>
      <c r="S13" s="82"/>
      <c r="T13" s="82"/>
      <c r="U13" s="82"/>
      <c r="V13" s="82"/>
      <c r="W13" s="82"/>
      <c r="X13" s="82"/>
      <c r="Y13" s="82"/>
      <c r="Z13" s="82"/>
      <c r="AA13" s="82"/>
      <c r="AB13" s="81"/>
      <c r="AC13" s="92"/>
      <c r="AD13" s="93"/>
      <c r="AJ13" s="31"/>
      <c r="AK13" s="31"/>
    </row>
    <row r="14" spans="1:37" ht="18">
      <c r="A14" s="480" t="s">
        <v>195</v>
      </c>
      <c r="B14" s="454"/>
      <c r="C14" s="454"/>
      <c r="D14" s="454"/>
      <c r="E14" s="454"/>
      <c r="F14" s="454"/>
      <c r="G14" s="454"/>
      <c r="H14" s="454"/>
      <c r="I14" s="404"/>
      <c r="J14">
        <v>76.23</v>
      </c>
      <c r="K14">
        <v>20</v>
      </c>
      <c r="L14" s="461">
        <f t="shared" si="0"/>
        <v>7</v>
      </c>
      <c r="M14" s="223"/>
      <c r="N14">
        <v>390.58</v>
      </c>
      <c r="O14">
        <v>46.67</v>
      </c>
      <c r="P14" s="454">
        <f t="shared" si="1"/>
        <v>5</v>
      </c>
      <c r="Q14" s="28"/>
      <c r="R14" s="273">
        <f t="shared" si="2"/>
        <v>66.67</v>
      </c>
      <c r="S14" s="82"/>
      <c r="T14" s="82"/>
      <c r="U14" s="82"/>
      <c r="V14" s="82"/>
      <c r="W14" s="82"/>
      <c r="X14" s="82"/>
      <c r="Y14" s="82"/>
      <c r="Z14" s="82"/>
      <c r="AA14" s="82"/>
      <c r="AB14" s="81"/>
      <c r="AC14" s="92"/>
      <c r="AD14" s="93"/>
      <c r="AJ14" s="31"/>
      <c r="AK14" s="31"/>
    </row>
    <row r="15" spans="1:37" ht="18">
      <c r="A15" s="480" t="s">
        <v>196</v>
      </c>
      <c r="B15" s="454"/>
      <c r="C15" s="454"/>
      <c r="D15" s="454"/>
      <c r="E15" s="454"/>
      <c r="F15" s="454"/>
      <c r="G15" s="454"/>
      <c r="H15" s="454"/>
      <c r="I15" s="404"/>
      <c r="J15" s="458"/>
      <c r="K15" s="459"/>
      <c r="L15" s="461"/>
      <c r="M15" s="223"/>
      <c r="N15" s="458"/>
      <c r="O15" s="449"/>
      <c r="P15" s="454"/>
      <c r="Q15" s="28"/>
      <c r="R15" s="273">
        <f t="shared" si="2"/>
        <v>0</v>
      </c>
      <c r="S15" s="82"/>
      <c r="T15" s="82"/>
      <c r="U15" s="82"/>
      <c r="V15" s="82"/>
      <c r="W15" s="82"/>
      <c r="X15" s="82"/>
      <c r="Y15" s="82"/>
      <c r="Z15" s="82"/>
      <c r="AA15" s="82"/>
      <c r="AB15" s="81"/>
      <c r="AC15" s="92"/>
      <c r="AD15" s="93"/>
      <c r="AJ15" s="31"/>
      <c r="AK15" s="31"/>
    </row>
    <row r="16" spans="1:37" ht="18">
      <c r="A16" s="480" t="s">
        <v>197</v>
      </c>
      <c r="B16" s="454"/>
      <c r="C16" s="454"/>
      <c r="D16" s="454"/>
      <c r="E16" s="454"/>
      <c r="F16" s="454"/>
      <c r="G16" s="454"/>
      <c r="H16" s="454"/>
      <c r="I16" s="404"/>
      <c r="J16" s="458"/>
      <c r="K16" s="459"/>
      <c r="L16" s="461"/>
      <c r="M16" s="223"/>
      <c r="N16" s="458"/>
      <c r="O16" s="449"/>
      <c r="P16" s="454" t="s">
        <v>45</v>
      </c>
      <c r="Q16" s="28"/>
      <c r="R16" s="273">
        <f t="shared" si="2"/>
        <v>0</v>
      </c>
      <c r="S16" s="82"/>
      <c r="T16" s="82"/>
      <c r="U16" s="82"/>
      <c r="V16" s="82"/>
      <c r="W16" s="82"/>
      <c r="X16" s="82"/>
      <c r="Y16" s="82"/>
      <c r="Z16" s="82"/>
      <c r="AA16" s="82"/>
      <c r="AB16" s="81"/>
      <c r="AC16" s="92"/>
      <c r="AD16" s="93"/>
      <c r="AJ16" s="31"/>
      <c r="AK16" s="31"/>
    </row>
    <row r="17" spans="1:37" s="140" customFormat="1" ht="18">
      <c r="A17" s="480" t="s">
        <v>198</v>
      </c>
      <c r="B17" s="454"/>
      <c r="C17" s="454"/>
      <c r="D17" s="454"/>
      <c r="E17" s="454"/>
      <c r="F17" s="454"/>
      <c r="G17" s="454"/>
      <c r="H17" s="454"/>
      <c r="I17" s="404"/>
      <c r="J17">
        <v>0</v>
      </c>
      <c r="K17">
        <v>20</v>
      </c>
      <c r="L17" s="461">
        <f t="shared" si="0"/>
        <v>7</v>
      </c>
      <c r="M17" s="223"/>
      <c r="N17">
        <v>950.59</v>
      </c>
      <c r="O17">
        <v>2.5</v>
      </c>
      <c r="P17" s="454">
        <f t="shared" si="1"/>
        <v>11</v>
      </c>
      <c r="Q17" s="148"/>
      <c r="R17" s="273">
        <f t="shared" si="2"/>
        <v>22.5</v>
      </c>
      <c r="S17" s="150"/>
      <c r="T17" s="150"/>
      <c r="U17" s="150"/>
      <c r="V17" s="150"/>
      <c r="W17" s="150"/>
      <c r="X17" s="150"/>
      <c r="Y17" s="150"/>
      <c r="Z17" s="150"/>
      <c r="AA17" s="150"/>
      <c r="AB17" s="134"/>
      <c r="AC17" s="143"/>
      <c r="AD17" s="142"/>
      <c r="AE17" s="139"/>
      <c r="AJ17" s="151"/>
      <c r="AK17" s="151"/>
    </row>
    <row r="18" spans="1:37">
      <c r="A18" s="87"/>
      <c r="B18" s="261"/>
      <c r="C18" s="131"/>
      <c r="D18" s="247"/>
      <c r="E18" s="247"/>
      <c r="F18" s="247"/>
      <c r="G18" s="247"/>
      <c r="H18" s="463"/>
      <c r="I18" s="464"/>
      <c r="J18" s="465"/>
      <c r="K18" s="466"/>
      <c r="L18" s="462"/>
      <c r="M18" s="467"/>
      <c r="N18" s="465"/>
      <c r="O18" s="468"/>
      <c r="P18" s="96"/>
      <c r="Q18" s="84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11"/>
      <c r="AC18" s="109"/>
      <c r="AD18" s="112"/>
      <c r="AE18" s="48"/>
      <c r="AF18" s="32"/>
      <c r="AG18" s="32"/>
      <c r="AH18" s="32"/>
      <c r="AI18" s="32"/>
      <c r="AJ18" s="31"/>
      <c r="AK18" s="31"/>
    </row>
    <row r="19" spans="1:37">
      <c r="A19" s="87"/>
      <c r="B19" s="261"/>
      <c r="C19" s="247"/>
      <c r="D19" s="247"/>
      <c r="E19" s="247"/>
      <c r="F19" s="247"/>
      <c r="G19" s="247"/>
      <c r="H19" s="463"/>
      <c r="I19" s="464"/>
      <c r="J19" s="465"/>
      <c r="K19" s="466"/>
      <c r="L19" s="468"/>
      <c r="M19" s="468"/>
      <c r="N19" s="465"/>
      <c r="O19" s="468"/>
      <c r="P19" s="96"/>
      <c r="Q19" s="94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04"/>
      <c r="AC19" s="110"/>
      <c r="AD19" s="114"/>
      <c r="AE19" s="48"/>
      <c r="AF19" s="32"/>
      <c r="AG19" s="32"/>
      <c r="AH19" s="32"/>
      <c r="AI19" s="32"/>
      <c r="AJ19" s="31"/>
      <c r="AK19" s="31"/>
    </row>
    <row r="20" spans="1:37" ht="14.4">
      <c r="A20" s="87"/>
      <c r="B20" s="261"/>
      <c r="C20" s="247"/>
      <c r="D20" s="178" t="s">
        <v>45</v>
      </c>
      <c r="E20" s="177" t="s">
        <v>45</v>
      </c>
      <c r="F20" s="247"/>
      <c r="G20" s="247"/>
      <c r="H20" s="247"/>
      <c r="I20" s="96"/>
      <c r="J20" s="460"/>
      <c r="K20" s="457"/>
      <c r="L20" s="96"/>
      <c r="M20" s="96"/>
      <c r="N20" s="460"/>
      <c r="O20" s="449"/>
      <c r="P20" s="96"/>
      <c r="Q20" s="94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04"/>
      <c r="AC20" s="110"/>
      <c r="AD20" s="114"/>
      <c r="AE20" s="48"/>
      <c r="AF20" s="32"/>
      <c r="AG20" s="32"/>
      <c r="AH20" s="32"/>
      <c r="AI20" s="32"/>
      <c r="AJ20" s="31"/>
      <c r="AK20" s="31"/>
    </row>
    <row r="21" spans="1:37" ht="14.4">
      <c r="B21" s="261"/>
      <c r="C21" s="259"/>
      <c r="D21" s="176"/>
      <c r="E21" s="176"/>
      <c r="F21" s="259"/>
      <c r="G21" s="348" t="s">
        <v>45</v>
      </c>
      <c r="H21" s="259"/>
      <c r="I21" s="88"/>
      <c r="J21" s="460"/>
      <c r="K21" s="457"/>
      <c r="L21" s="88"/>
      <c r="M21" s="88"/>
      <c r="N21" s="460"/>
      <c r="O21" s="449"/>
      <c r="P21" s="88"/>
      <c r="Q21" s="94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04"/>
      <c r="AC21" s="115"/>
      <c r="AD21" s="114"/>
    </row>
    <row r="22" spans="1:37">
      <c r="B22" s="309" t="s">
        <v>108</v>
      </c>
      <c r="H22" s="400"/>
      <c r="I22" s="453"/>
      <c r="J22" s="400"/>
      <c r="K22" s="400"/>
      <c r="L22" s="96"/>
      <c r="M22" s="96"/>
      <c r="N22" s="460"/>
      <c r="O22" s="449"/>
      <c r="P22" s="96"/>
      <c r="Q22" s="94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04"/>
      <c r="AC22" s="115"/>
      <c r="AD22" s="114"/>
    </row>
    <row r="23" spans="1:37">
      <c r="B23" s="309" t="s">
        <v>109</v>
      </c>
      <c r="G23" s="400"/>
      <c r="H23" s="400"/>
      <c r="I23" s="453"/>
      <c r="J23" s="400"/>
      <c r="K23" s="254"/>
      <c r="L23" s="96"/>
      <c r="M23" s="96"/>
      <c r="N23" s="96"/>
      <c r="O23" s="96"/>
      <c r="P23" s="96"/>
      <c r="Q23" s="94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104"/>
      <c r="AC23" s="115"/>
      <c r="AD23" s="114"/>
    </row>
    <row r="24" spans="1:37">
      <c r="B24" s="309" t="s">
        <v>110</v>
      </c>
      <c r="I24" s="309"/>
      <c r="J24" s="453"/>
      <c r="K24" s="469"/>
      <c r="L24" s="88"/>
      <c r="M24" s="88"/>
      <c r="N24" s="96"/>
      <c r="O24" s="88"/>
      <c r="P24" s="88"/>
      <c r="Q24" s="94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04"/>
      <c r="AC24" s="115"/>
      <c r="AD24" s="114"/>
    </row>
    <row r="25" spans="1:37">
      <c r="A25" s="87"/>
      <c r="B25" s="247"/>
      <c r="C25" s="247" t="s">
        <v>79</v>
      </c>
      <c r="D25" s="247"/>
      <c r="E25" s="247"/>
      <c r="F25" s="247"/>
      <c r="G25" s="247"/>
      <c r="H25" s="247"/>
      <c r="I25" s="96"/>
      <c r="J25" s="96"/>
      <c r="K25" s="96"/>
      <c r="L25" s="96"/>
      <c r="M25" s="96"/>
      <c r="N25" s="96"/>
      <c r="O25" s="96"/>
      <c r="P25" s="103"/>
      <c r="Q25" s="94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04"/>
      <c r="AC25" s="115"/>
      <c r="AD25" s="114"/>
    </row>
    <row r="26" spans="1:37">
      <c r="A26" s="87"/>
      <c r="B26" s="259"/>
      <c r="C26" s="259"/>
      <c r="D26" s="259"/>
      <c r="E26" s="259"/>
      <c r="F26" s="259"/>
      <c r="G26" s="259"/>
      <c r="H26" s="259"/>
      <c r="I26" s="88"/>
      <c r="J26" s="96"/>
      <c r="K26" s="88"/>
      <c r="L26" s="88"/>
      <c r="M26" s="88"/>
      <c r="N26" s="88"/>
      <c r="O26" s="88"/>
      <c r="P26" s="103"/>
      <c r="Q26" s="94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104"/>
      <c r="AC26" s="115"/>
      <c r="AD26" s="114"/>
    </row>
    <row r="27" spans="1:37">
      <c r="A27" s="87"/>
      <c r="B27" s="259"/>
      <c r="C27" s="259"/>
      <c r="D27" s="259"/>
      <c r="E27" s="259"/>
      <c r="F27" s="259"/>
      <c r="G27" s="259"/>
      <c r="H27" s="259"/>
      <c r="I27" s="88"/>
      <c r="J27" s="96"/>
      <c r="K27" s="88"/>
      <c r="L27" s="88"/>
      <c r="M27" s="88"/>
      <c r="N27" s="88"/>
      <c r="O27" s="88"/>
      <c r="P27" s="103"/>
      <c r="Q27" s="94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104"/>
      <c r="AC27" s="115"/>
      <c r="AD27" s="114"/>
    </row>
    <row r="28" spans="1:37" ht="15">
      <c r="A28" s="385"/>
      <c r="B28" s="308"/>
      <c r="C28" s="308"/>
      <c r="D28" s="308"/>
      <c r="E28" s="386" t="s">
        <v>169</v>
      </c>
      <c r="F28" s="308"/>
      <c r="G28" s="308"/>
      <c r="H28" s="308"/>
      <c r="I28" s="96"/>
      <c r="J28" s="96"/>
      <c r="K28" s="96"/>
      <c r="L28" s="96"/>
      <c r="M28" s="96"/>
      <c r="N28" s="96"/>
      <c r="O28" s="96"/>
      <c r="P28" s="103"/>
      <c r="Q28" s="94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04"/>
      <c r="AC28" s="115"/>
      <c r="AD28" s="114"/>
    </row>
    <row r="29" spans="1:37">
      <c r="A29" s="87"/>
      <c r="B29" s="247"/>
      <c r="C29" s="247"/>
      <c r="D29" s="247"/>
      <c r="E29" s="247"/>
      <c r="F29" s="247"/>
      <c r="G29" s="247"/>
      <c r="H29" s="247"/>
      <c r="I29" s="96"/>
      <c r="J29" s="96"/>
      <c r="K29" s="96"/>
      <c r="L29" s="96"/>
      <c r="M29" s="96"/>
      <c r="N29" s="96"/>
      <c r="O29" s="96"/>
      <c r="P29" s="103"/>
      <c r="Q29" s="94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04"/>
      <c r="AC29" s="115"/>
      <c r="AD29" s="114"/>
    </row>
    <row r="30" spans="1:37">
      <c r="A30" s="87"/>
      <c r="B30" s="259"/>
      <c r="C30" s="259"/>
      <c r="D30" s="259"/>
      <c r="E30" s="259"/>
      <c r="F30" s="259"/>
      <c r="G30" s="259"/>
      <c r="H30" s="259"/>
      <c r="I30" s="88"/>
      <c r="J30" s="96"/>
      <c r="K30" s="88"/>
      <c r="L30" s="88"/>
      <c r="M30" s="88"/>
      <c r="N30" s="88"/>
      <c r="O30" s="88"/>
      <c r="P30" s="103"/>
      <c r="Q30" s="94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104"/>
      <c r="AC30" s="115"/>
      <c r="AD30" s="114"/>
    </row>
    <row r="31" spans="1:37">
      <c r="A31" s="87"/>
      <c r="B31" s="349"/>
      <c r="C31" s="247"/>
      <c r="D31" s="247"/>
      <c r="E31" s="247"/>
      <c r="F31" s="247"/>
      <c r="G31" s="247"/>
      <c r="H31" s="247"/>
      <c r="I31" s="96"/>
      <c r="J31" s="96"/>
      <c r="K31" s="96"/>
      <c r="L31" s="96"/>
      <c r="M31" s="96"/>
      <c r="N31" s="96"/>
      <c r="O31" s="96"/>
      <c r="P31" s="103"/>
      <c r="Q31" s="94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04"/>
      <c r="AC31" s="115"/>
      <c r="AD31" s="114"/>
    </row>
    <row r="32" spans="1:37">
      <c r="A32" s="87"/>
      <c r="B32" s="247"/>
      <c r="C32" s="247"/>
      <c r="D32" s="247"/>
      <c r="E32" s="247"/>
      <c r="F32" s="350"/>
      <c r="G32" s="247"/>
      <c r="H32" s="247"/>
      <c r="I32" s="96"/>
      <c r="J32" s="96"/>
      <c r="K32" s="96"/>
      <c r="L32" s="96"/>
      <c r="M32" s="96"/>
      <c r="N32" s="96"/>
      <c r="O32" s="96"/>
      <c r="P32" s="104"/>
      <c r="Q32" s="94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04"/>
      <c r="AC32" s="115"/>
      <c r="AD32" s="86"/>
    </row>
    <row r="33" spans="1:30">
      <c r="A33" s="87"/>
      <c r="B33" s="259"/>
      <c r="C33" s="259"/>
      <c r="D33" s="172"/>
      <c r="E33" s="173"/>
      <c r="F33" s="173"/>
      <c r="G33" s="73"/>
      <c r="H33" s="73"/>
      <c r="I33" s="88"/>
      <c r="J33" s="96"/>
      <c r="K33" s="88"/>
      <c r="L33" s="88"/>
      <c r="M33" s="88"/>
      <c r="N33" s="88"/>
      <c r="O33" s="88"/>
      <c r="P33" s="103"/>
      <c r="Q33" s="94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104"/>
      <c r="AC33" s="115"/>
      <c r="AD33" s="114"/>
    </row>
    <row r="34" spans="1:30">
      <c r="A34" s="87"/>
      <c r="B34" s="247"/>
      <c r="C34" s="247"/>
      <c r="D34" s="73"/>
      <c r="E34" s="73"/>
      <c r="F34" s="170"/>
      <c r="G34" s="73"/>
      <c r="H34" s="171"/>
      <c r="I34" s="168"/>
      <c r="J34" s="168"/>
      <c r="K34" s="168"/>
      <c r="L34" s="96"/>
      <c r="M34" s="96"/>
      <c r="N34" s="96"/>
      <c r="O34" s="96"/>
      <c r="P34" s="103"/>
      <c r="Q34" s="94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04"/>
      <c r="AC34" s="115"/>
      <c r="AD34" s="114"/>
    </row>
    <row r="35" spans="1:30">
      <c r="A35" s="81"/>
      <c r="B35" s="247"/>
      <c r="C35" s="259"/>
      <c r="D35" s="73"/>
      <c r="E35" s="73"/>
      <c r="F35" s="173"/>
      <c r="G35" s="73"/>
      <c r="H35" s="73"/>
      <c r="I35" s="88"/>
      <c r="J35" s="96"/>
      <c r="K35" s="88"/>
      <c r="L35" s="88"/>
      <c r="M35" s="88"/>
      <c r="N35" s="88"/>
      <c r="O35" s="88"/>
      <c r="P35" s="103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104"/>
      <c r="AC35" s="115"/>
      <c r="AD35" s="114"/>
    </row>
    <row r="36" spans="1:30">
      <c r="A36" s="81"/>
      <c r="B36" s="259"/>
      <c r="C36" s="259"/>
      <c r="D36" s="259"/>
      <c r="E36" s="259"/>
      <c r="F36" s="259"/>
      <c r="G36" s="259"/>
      <c r="H36" s="259"/>
      <c r="I36" s="88"/>
      <c r="J36" s="96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115"/>
      <c r="AD36" s="86"/>
    </row>
    <row r="37" spans="1:30">
      <c r="A37" s="81"/>
      <c r="B37" s="259"/>
      <c r="C37" s="259"/>
      <c r="D37" s="259"/>
      <c r="E37" s="259"/>
      <c r="F37" s="259"/>
      <c r="G37" s="259"/>
      <c r="H37" s="259"/>
      <c r="I37" s="88"/>
      <c r="J37" s="96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115"/>
      <c r="AD37" s="86"/>
    </row>
    <row r="38" spans="1:30">
      <c r="A38" s="106"/>
      <c r="B38" s="55"/>
      <c r="C38" s="55"/>
      <c r="D38" s="55"/>
      <c r="E38" s="55"/>
      <c r="F38" s="55"/>
      <c r="G38" s="55"/>
      <c r="H38" s="55"/>
      <c r="I38" s="90"/>
      <c r="J38" s="103"/>
      <c r="K38" s="90"/>
      <c r="L38" s="90"/>
      <c r="M38" s="90"/>
      <c r="N38" s="90"/>
      <c r="O38" s="90"/>
      <c r="P38" s="90"/>
      <c r="Q38" s="88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115"/>
      <c r="AD38" s="86"/>
    </row>
    <row r="39" spans="1:30">
      <c r="A39" s="87"/>
      <c r="B39" s="259"/>
      <c r="C39" s="259"/>
      <c r="D39" s="259"/>
      <c r="E39" s="259"/>
      <c r="F39" s="259"/>
      <c r="G39" s="259"/>
      <c r="H39" s="259"/>
      <c r="I39" s="88"/>
      <c r="J39" s="96"/>
      <c r="K39" s="88"/>
      <c r="L39" s="88"/>
      <c r="M39" s="88"/>
      <c r="N39" s="88"/>
      <c r="O39" s="88"/>
      <c r="P39" s="103"/>
      <c r="Q39" s="94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104"/>
      <c r="AC39" s="115"/>
      <c r="AD39" s="114"/>
    </row>
    <row r="40" spans="1:30">
      <c r="A40" s="87"/>
      <c r="B40" s="259"/>
      <c r="C40" s="259"/>
      <c r="D40" s="259"/>
      <c r="E40" s="259"/>
      <c r="F40" s="259"/>
      <c r="G40" s="259"/>
      <c r="H40" s="259"/>
      <c r="I40" s="88"/>
      <c r="J40" s="96"/>
      <c r="K40" s="88"/>
      <c r="L40" s="88"/>
      <c r="M40" s="88"/>
      <c r="N40" s="88"/>
      <c r="O40" s="88"/>
      <c r="P40" s="103"/>
      <c r="Q40" s="94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104"/>
      <c r="AC40" s="115"/>
      <c r="AD40" s="114"/>
    </row>
    <row r="41" spans="1:30">
      <c r="A41" s="87"/>
      <c r="B41" s="259"/>
      <c r="C41" s="259"/>
      <c r="D41" s="259"/>
      <c r="E41" s="259"/>
      <c r="F41" s="259"/>
      <c r="G41" s="259"/>
      <c r="H41" s="259"/>
      <c r="I41" s="88"/>
      <c r="J41" s="96"/>
      <c r="K41" s="88"/>
      <c r="L41" s="88"/>
      <c r="M41" s="88"/>
      <c r="N41" s="88"/>
      <c r="O41" s="88"/>
      <c r="P41" s="103"/>
      <c r="Q41" s="94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104"/>
      <c r="AC41" s="115"/>
      <c r="AD41" s="114"/>
    </row>
    <row r="42" spans="1:30">
      <c r="A42" s="87"/>
      <c r="B42" s="259"/>
      <c r="C42" s="259"/>
      <c r="D42" s="259"/>
      <c r="E42" s="259"/>
      <c r="F42" s="259"/>
      <c r="G42" s="259"/>
      <c r="H42" s="259"/>
      <c r="I42" s="88"/>
      <c r="J42" s="96"/>
      <c r="K42" s="88"/>
      <c r="L42" s="88"/>
      <c r="M42" s="88"/>
      <c r="N42" s="88"/>
      <c r="O42" s="88"/>
      <c r="P42" s="103"/>
      <c r="Q42" s="94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104"/>
      <c r="AC42" s="115"/>
      <c r="AD42" s="114"/>
    </row>
    <row r="43" spans="1:30">
      <c r="A43" s="87"/>
      <c r="B43" s="259"/>
      <c r="C43" s="259"/>
      <c r="D43" s="259"/>
      <c r="E43" s="259"/>
      <c r="F43" s="259"/>
      <c r="G43" s="259"/>
      <c r="H43" s="259"/>
      <c r="I43" s="88"/>
      <c r="J43" s="96"/>
      <c r="K43" s="88"/>
      <c r="L43" s="88"/>
      <c r="M43" s="88"/>
      <c r="N43" s="88"/>
      <c r="O43" s="88"/>
      <c r="P43" s="103"/>
      <c r="Q43" s="94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104"/>
      <c r="AC43" s="115"/>
      <c r="AD43" s="114"/>
    </row>
    <row r="44" spans="1:30">
      <c r="A44" s="87"/>
      <c r="B44" s="259"/>
      <c r="C44" s="259"/>
      <c r="D44" s="259"/>
      <c r="E44" s="259"/>
      <c r="F44" s="259"/>
      <c r="G44" s="259"/>
      <c r="H44" s="259"/>
      <c r="I44" s="88"/>
      <c r="J44" s="96"/>
      <c r="K44" s="88"/>
      <c r="L44" s="88"/>
      <c r="M44" s="88"/>
      <c r="N44" s="88"/>
      <c r="O44" s="88"/>
      <c r="P44" s="103"/>
      <c r="Q44" s="94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104"/>
      <c r="AC44" s="115"/>
      <c r="AD44" s="114"/>
    </row>
    <row r="45" spans="1:30">
      <c r="A45" s="87"/>
      <c r="B45" s="259"/>
      <c r="C45" s="259"/>
      <c r="D45" s="259"/>
      <c r="E45" s="259"/>
      <c r="F45" s="259"/>
      <c r="G45" s="259"/>
      <c r="H45" s="259"/>
      <c r="I45" s="88"/>
      <c r="J45" s="96"/>
      <c r="K45" s="88"/>
      <c r="L45" s="88"/>
      <c r="M45" s="88"/>
      <c r="N45" s="88"/>
      <c r="O45" s="88"/>
      <c r="P45" s="103"/>
      <c r="Q45" s="94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104"/>
      <c r="AC45" s="115"/>
      <c r="AD45" s="114"/>
    </row>
    <row r="46" spans="1:30">
      <c r="A46" s="87"/>
      <c r="B46" s="259"/>
      <c r="C46" s="259"/>
      <c r="D46" s="259"/>
      <c r="E46" s="259"/>
      <c r="F46" s="259"/>
      <c r="G46" s="259"/>
      <c r="H46" s="259"/>
      <c r="I46" s="88"/>
      <c r="J46" s="96"/>
      <c r="K46" s="88"/>
      <c r="L46" s="88"/>
      <c r="M46" s="88"/>
      <c r="N46" s="88"/>
      <c r="O46" s="88"/>
      <c r="P46" s="103"/>
      <c r="Q46" s="94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104"/>
      <c r="AC46" s="115"/>
      <c r="AD46" s="114"/>
    </row>
    <row r="47" spans="1:30">
      <c r="A47" s="87"/>
      <c r="B47" s="259"/>
      <c r="C47" s="259"/>
      <c r="D47" s="259"/>
      <c r="E47" s="259"/>
      <c r="F47" s="259"/>
      <c r="G47" s="259"/>
      <c r="H47" s="259"/>
      <c r="I47" s="88"/>
      <c r="J47" s="96"/>
      <c r="K47" s="88"/>
      <c r="L47" s="88"/>
      <c r="M47" s="88"/>
      <c r="N47" s="88"/>
      <c r="O47" s="88"/>
      <c r="P47" s="103"/>
      <c r="Q47" s="94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104"/>
      <c r="AC47" s="115"/>
      <c r="AD47" s="114"/>
    </row>
    <row r="48" spans="1:30">
      <c r="A48" s="87"/>
      <c r="B48" s="259"/>
      <c r="C48" s="259"/>
      <c r="D48" s="259"/>
      <c r="E48" s="259"/>
      <c r="F48" s="259"/>
      <c r="G48" s="259"/>
      <c r="H48" s="259"/>
      <c r="I48" s="88"/>
      <c r="J48" s="96"/>
      <c r="K48" s="88"/>
      <c r="L48" s="88"/>
      <c r="M48" s="88"/>
      <c r="N48" s="88"/>
      <c r="O48" s="88"/>
      <c r="P48" s="103"/>
      <c r="Q48" s="94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104"/>
      <c r="AC48" s="115"/>
      <c r="AD48" s="114"/>
    </row>
    <row r="49" spans="1:30">
      <c r="A49" s="87"/>
      <c r="B49" s="259"/>
      <c r="C49" s="259"/>
      <c r="D49" s="259"/>
      <c r="E49" s="259"/>
      <c r="F49" s="259"/>
      <c r="G49" s="259"/>
      <c r="H49" s="259"/>
      <c r="I49" s="88"/>
      <c r="J49" s="96"/>
      <c r="K49" s="88"/>
      <c r="L49" s="88"/>
      <c r="M49" s="88"/>
      <c r="N49" s="88"/>
      <c r="O49" s="88"/>
      <c r="P49" s="103"/>
      <c r="Q49" s="94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104"/>
      <c r="AC49" s="115"/>
      <c r="AD49" s="114"/>
    </row>
    <row r="50" spans="1:30">
      <c r="A50" s="87"/>
      <c r="B50" s="259"/>
      <c r="C50" s="259"/>
      <c r="D50" s="259"/>
      <c r="E50" s="259"/>
      <c r="F50" s="259"/>
      <c r="G50" s="259"/>
      <c r="H50" s="259"/>
      <c r="I50" s="88"/>
      <c r="J50" s="96"/>
      <c r="K50" s="88"/>
      <c r="L50" s="88"/>
      <c r="M50" s="88"/>
      <c r="N50" s="88"/>
      <c r="O50" s="88"/>
      <c r="P50" s="103"/>
      <c r="Q50" s="94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104"/>
      <c r="AC50" s="115"/>
      <c r="AD50" s="114"/>
    </row>
    <row r="51" spans="1:30">
      <c r="A51" s="87"/>
      <c r="B51" s="259"/>
      <c r="C51" s="259"/>
      <c r="D51" s="259"/>
      <c r="E51" s="259"/>
      <c r="F51" s="259"/>
      <c r="G51" s="259"/>
      <c r="H51" s="259"/>
      <c r="I51" s="88"/>
      <c r="J51" s="96"/>
      <c r="K51" s="88"/>
      <c r="L51" s="88"/>
      <c r="M51" s="88"/>
      <c r="N51" s="88"/>
      <c r="O51" s="88"/>
      <c r="P51" s="103"/>
      <c r="Q51" s="94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104"/>
      <c r="AC51" s="115"/>
      <c r="AD51" s="114"/>
    </row>
    <row r="52" spans="1:30">
      <c r="A52" s="87"/>
      <c r="B52" s="247"/>
      <c r="C52" s="247"/>
      <c r="D52" s="247"/>
      <c r="E52" s="247"/>
      <c r="F52" s="247"/>
      <c r="G52" s="247"/>
      <c r="H52" s="247"/>
      <c r="I52" s="96"/>
      <c r="J52" s="96"/>
      <c r="K52" s="96"/>
      <c r="L52" s="96"/>
      <c r="M52" s="96"/>
      <c r="N52" s="96"/>
      <c r="O52" s="96"/>
      <c r="P52" s="104"/>
      <c r="Q52" s="94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104"/>
      <c r="AC52" s="115"/>
      <c r="AD52" s="86"/>
    </row>
    <row r="53" spans="1:30">
      <c r="A53" s="87"/>
      <c r="B53" s="259"/>
      <c r="C53" s="259"/>
      <c r="D53" s="259"/>
      <c r="E53" s="259"/>
      <c r="F53" s="259"/>
      <c r="G53" s="259"/>
      <c r="H53" s="259"/>
      <c r="I53" s="88"/>
      <c r="J53" s="96"/>
      <c r="K53" s="88"/>
      <c r="L53" s="88"/>
      <c r="M53" s="88"/>
      <c r="N53" s="88"/>
      <c r="O53" s="88"/>
      <c r="P53" s="103"/>
      <c r="Q53" s="94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104"/>
      <c r="AC53" s="115"/>
      <c r="AD53" s="114"/>
    </row>
    <row r="54" spans="1:30">
      <c r="A54" s="87"/>
      <c r="B54" s="259"/>
      <c r="C54" s="259"/>
      <c r="D54" s="259"/>
      <c r="E54" s="259"/>
      <c r="F54" s="259"/>
      <c r="G54" s="259"/>
      <c r="H54" s="259"/>
      <c r="I54" s="88"/>
      <c r="J54" s="96"/>
      <c r="K54" s="88"/>
      <c r="L54" s="88"/>
      <c r="M54" s="88"/>
      <c r="N54" s="88"/>
      <c r="O54" s="88"/>
      <c r="P54" s="103"/>
      <c r="Q54" s="94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104"/>
      <c r="AC54" s="115"/>
      <c r="AD54" s="114"/>
    </row>
    <row r="55" spans="1:30">
      <c r="A55" s="92"/>
      <c r="B55" s="351"/>
      <c r="C55" s="351"/>
      <c r="D55" s="351"/>
      <c r="E55" s="351"/>
      <c r="F55" s="351"/>
      <c r="G55" s="351"/>
      <c r="H55" s="351"/>
      <c r="I55" s="115"/>
      <c r="J55" s="358"/>
      <c r="K55" s="115"/>
      <c r="L55" s="115"/>
      <c r="M55" s="115"/>
      <c r="N55" s="115"/>
      <c r="O55" s="115"/>
      <c r="P55" s="107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08"/>
      <c r="AC55" s="115"/>
      <c r="AD55" s="86"/>
    </row>
    <row r="56" spans="1:30">
      <c r="A56" s="92"/>
      <c r="B56" s="351"/>
      <c r="C56" s="351"/>
      <c r="D56" s="351"/>
      <c r="E56" s="351"/>
      <c r="F56" s="351"/>
      <c r="G56" s="351"/>
      <c r="H56" s="351"/>
      <c r="I56" s="115"/>
      <c r="J56" s="358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86"/>
    </row>
    <row r="57" spans="1:30">
      <c r="A57" s="92"/>
      <c r="B57" s="352"/>
      <c r="C57" s="352"/>
      <c r="D57" s="352"/>
      <c r="E57" s="352"/>
      <c r="F57" s="352"/>
      <c r="G57" s="352"/>
      <c r="H57" s="352"/>
      <c r="I57" s="86"/>
      <c r="J57" s="359"/>
      <c r="K57" s="86"/>
      <c r="L57" s="86"/>
      <c r="M57" s="86"/>
      <c r="N57" s="86"/>
      <c r="O57" s="86"/>
      <c r="P57" s="115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>
      <c r="A58" s="92"/>
      <c r="B58" s="310"/>
      <c r="C58" s="310"/>
      <c r="D58" s="310"/>
      <c r="E58" s="310"/>
      <c r="F58" s="310"/>
      <c r="G58" s="310"/>
      <c r="H58" s="310"/>
      <c r="I58" s="93"/>
      <c r="J58" s="360"/>
      <c r="K58" s="93"/>
      <c r="L58" s="93"/>
      <c r="M58" s="93"/>
      <c r="N58" s="93"/>
      <c r="O58" s="93"/>
      <c r="P58" s="105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1:30">
      <c r="A59" s="92"/>
      <c r="B59" s="310"/>
      <c r="C59" s="310"/>
      <c r="D59" s="310"/>
      <c r="E59" s="310"/>
      <c r="F59" s="310"/>
      <c r="G59" s="310"/>
      <c r="H59" s="310"/>
      <c r="I59" s="93"/>
      <c r="J59" s="360"/>
      <c r="K59" s="93"/>
      <c r="L59" s="93"/>
      <c r="M59" s="93"/>
      <c r="N59" s="93"/>
      <c r="O59" s="93"/>
      <c r="P59" s="105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</row>
    <row r="60" spans="1:30">
      <c r="A60" s="92"/>
      <c r="B60" s="310"/>
      <c r="C60" s="310"/>
      <c r="D60" s="310"/>
      <c r="E60" s="310"/>
      <c r="F60" s="310"/>
      <c r="G60" s="310"/>
      <c r="H60" s="310"/>
      <c r="I60" s="93"/>
      <c r="J60" s="360"/>
      <c r="K60" s="93"/>
      <c r="L60" s="93"/>
      <c r="M60" s="93"/>
      <c r="N60" s="93"/>
      <c r="O60" s="93"/>
      <c r="P60" s="105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</row>
    <row r="61" spans="1:30">
      <c r="A61" s="92"/>
      <c r="B61" s="310"/>
      <c r="C61" s="310"/>
      <c r="D61" s="310"/>
      <c r="E61" s="310"/>
      <c r="F61" s="310"/>
      <c r="G61" s="310"/>
      <c r="H61" s="310"/>
      <c r="I61" s="93"/>
      <c r="J61" s="360"/>
      <c r="K61" s="93"/>
      <c r="L61" s="93"/>
      <c r="M61" s="93"/>
      <c r="N61" s="93"/>
      <c r="O61" s="93"/>
      <c r="P61" s="105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</row>
    <row r="62" spans="1:30">
      <c r="A62" s="92"/>
      <c r="I62" s="92"/>
      <c r="J62" s="361"/>
      <c r="K62" s="92"/>
      <c r="L62" s="92"/>
      <c r="M62" s="92"/>
      <c r="N62" s="93"/>
      <c r="O62" s="93"/>
      <c r="P62" s="105"/>
      <c r="Q62" s="93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2"/>
      <c r="AC62" s="92"/>
      <c r="AD62" s="93"/>
    </row>
    <row r="63" spans="1:30">
      <c r="A63" s="92"/>
      <c r="I63" s="92"/>
      <c r="J63" s="361"/>
      <c r="K63" s="92"/>
      <c r="L63" s="92"/>
      <c r="M63" s="92"/>
      <c r="N63" s="93"/>
      <c r="O63" s="93"/>
      <c r="P63" s="105"/>
      <c r="Q63" s="93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2"/>
      <c r="AC63" s="92"/>
      <c r="AD63" s="93"/>
    </row>
    <row r="64" spans="1:30">
      <c r="P64" s="42"/>
    </row>
    <row r="65" spans="16:16">
      <c r="P65" s="42"/>
    </row>
    <row r="66" spans="16:16">
      <c r="P66" s="42"/>
    </row>
    <row r="67" spans="16:16">
      <c r="P67" s="42"/>
    </row>
    <row r="68" spans="16:16">
      <c r="P68" s="42"/>
    </row>
    <row r="69" spans="16:16">
      <c r="P69" s="42"/>
    </row>
    <row r="70" spans="16:16">
      <c r="P70" s="42"/>
    </row>
    <row r="71" spans="16:16">
      <c r="P71" s="42"/>
    </row>
    <row r="72" spans="16:16">
      <c r="P72" s="42"/>
    </row>
    <row r="73" spans="16:16">
      <c r="P73" s="42"/>
    </row>
    <row r="74" spans="16:16">
      <c r="P74" s="42"/>
    </row>
    <row r="75" spans="16:16">
      <c r="P75" s="42"/>
    </row>
    <row r="76" spans="16:16">
      <c r="P76" s="42"/>
    </row>
    <row r="77" spans="16:16">
      <c r="P77" s="42"/>
    </row>
    <row r="78" spans="16:16">
      <c r="P78" s="42"/>
    </row>
    <row r="79" spans="16:16">
      <c r="P79" s="42"/>
    </row>
    <row r="80" spans="16:16">
      <c r="P80" s="42"/>
    </row>
    <row r="81" spans="16:16">
      <c r="P81" s="42"/>
    </row>
    <row r="82" spans="16:16">
      <c r="P82" s="42"/>
    </row>
    <row r="83" spans="16:16">
      <c r="P83" s="42"/>
    </row>
    <row r="84" spans="16:16">
      <c r="P84" s="42"/>
    </row>
    <row r="85" spans="16:16">
      <c r="P85" s="42"/>
    </row>
    <row r="86" spans="16:16">
      <c r="P86" s="42"/>
    </row>
    <row r="87" spans="16:16">
      <c r="P87" s="42"/>
    </row>
    <row r="88" spans="16:16">
      <c r="P88" s="42"/>
    </row>
    <row r="89" spans="16:16">
      <c r="P89" s="42"/>
    </row>
    <row r="90" spans="16:16">
      <c r="P90" s="42"/>
    </row>
    <row r="91" spans="16:16">
      <c r="P91" s="42"/>
    </row>
    <row r="92" spans="16:16">
      <c r="P92" s="42"/>
    </row>
    <row r="93" spans="16:16">
      <c r="P93" s="42"/>
    </row>
    <row r="94" spans="16:16">
      <c r="P94" s="42"/>
    </row>
    <row r="95" spans="16:16">
      <c r="P95" s="42"/>
    </row>
    <row r="96" spans="16:16">
      <c r="P96" s="42"/>
    </row>
    <row r="97" spans="16:16">
      <c r="P97" s="42"/>
    </row>
  </sheetData>
  <phoneticPr fontId="23" type="noConversion"/>
  <conditionalFormatting sqref="I7">
    <cfRule type="cellIs" dxfId="1" priority="9" stopIfTrue="1" operator="equal">
      <formula>"PASS"</formula>
    </cfRule>
    <cfRule type="cellIs" dxfId="0" priority="10" stopIfTrue="1" operator="equal">
      <formula>"FAIL"</formula>
    </cfRule>
  </conditionalFormatting>
  <printOptions gridLines="1"/>
  <pageMargins left="0.25" right="0.25" top="1" bottom="1" header="0.5" footer="0.5"/>
  <pageSetup scale="66" orientation="landscape" horizontalDpi="4294967294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97"/>
  <sheetViews>
    <sheetView topLeftCell="A3" zoomScale="125" zoomScaleNormal="125" zoomScalePageLayoutView="125" workbookViewId="0">
      <selection activeCell="L20" sqref="L20"/>
    </sheetView>
  </sheetViews>
  <sheetFormatPr defaultColWidth="8.88671875" defaultRowHeight="13.2"/>
  <cols>
    <col min="1" max="1" width="40.88671875" customWidth="1"/>
    <col min="2" max="2" width="12.6640625" customWidth="1"/>
    <col min="3" max="3" width="12.44140625" customWidth="1"/>
    <col min="4" max="4" width="8.44140625" customWidth="1"/>
    <col min="5" max="5" width="13.44140625" customWidth="1"/>
    <col min="6" max="6" width="15.44140625" customWidth="1"/>
    <col min="7" max="8" width="9.33203125" customWidth="1"/>
    <col min="9" max="9" width="9.109375" customWidth="1"/>
    <col min="11" max="11" width="10" style="283" customWidth="1"/>
    <col min="12" max="12" width="25.44140625" style="3" customWidth="1"/>
    <col min="13" max="13" width="10.6640625" style="3" customWidth="1"/>
    <col min="14" max="14" width="8.6640625" style="3" customWidth="1"/>
    <col min="15" max="15" width="3" style="3" customWidth="1"/>
    <col min="16" max="22" width="8.6640625" style="41" customWidth="1"/>
    <col min="23" max="23" width="10" style="41" customWidth="1"/>
    <col min="24" max="25" width="8.6640625" style="41" customWidth="1"/>
    <col min="26" max="26" width="8.6640625" customWidth="1"/>
    <col min="27" max="27" width="2.109375" customWidth="1"/>
    <col min="28" max="28" width="16.33203125" style="3" customWidth="1"/>
    <col min="29" max="29" width="12.6640625" style="3" customWidth="1"/>
    <col min="30" max="33" width="8.6640625" customWidth="1"/>
  </cols>
  <sheetData>
    <row r="1" spans="1:35" ht="17.399999999999999">
      <c r="A1" s="117" t="s">
        <v>208</v>
      </c>
      <c r="B1" s="21"/>
      <c r="C1" s="21"/>
      <c r="D1" s="21"/>
      <c r="E1" s="21" t="s">
        <v>111</v>
      </c>
      <c r="F1" s="199">
        <f>MIN(B6:B18)</f>
        <v>1.573</v>
      </c>
      <c r="G1" s="21"/>
      <c r="H1" s="21" t="s">
        <v>113</v>
      </c>
      <c r="I1" s="21"/>
      <c r="J1" s="292">
        <f>MIN(H6:H18)</f>
        <v>0</v>
      </c>
      <c r="K1" s="274"/>
      <c r="L1" s="28"/>
      <c r="M1" s="28"/>
      <c r="N1" s="28"/>
      <c r="O1" s="28"/>
      <c r="P1" s="118"/>
      <c r="Q1" s="82"/>
      <c r="R1" s="83"/>
      <c r="S1" s="83"/>
      <c r="T1" s="83"/>
      <c r="U1" s="83"/>
      <c r="V1" s="83"/>
      <c r="W1" s="83"/>
      <c r="X1" s="83"/>
      <c r="Y1" s="83"/>
      <c r="Z1" s="84"/>
      <c r="AA1" s="85"/>
      <c r="AB1" s="86"/>
      <c r="AC1" s="60"/>
      <c r="AD1" s="1"/>
      <c r="AE1" s="1"/>
      <c r="AF1" s="1"/>
    </row>
    <row r="2" spans="1:35">
      <c r="A2" s="77"/>
      <c r="B2" s="24"/>
      <c r="C2" s="24"/>
      <c r="D2" s="24"/>
      <c r="E2" s="24" t="s">
        <v>112</v>
      </c>
      <c r="F2" s="199">
        <f>MAX(B6:B18)</f>
        <v>1000</v>
      </c>
      <c r="G2" s="24"/>
      <c r="H2" s="24" t="s">
        <v>114</v>
      </c>
      <c r="I2" s="24"/>
      <c r="J2" s="291">
        <f>MAX(H6:H18)</f>
        <v>22.982456140350877</v>
      </c>
      <c r="K2" s="275"/>
      <c r="L2" s="119"/>
      <c r="M2" s="52"/>
      <c r="N2" s="52"/>
      <c r="O2" s="52"/>
      <c r="P2" s="120"/>
      <c r="Q2" s="89"/>
      <c r="R2" s="89"/>
      <c r="S2" s="83"/>
      <c r="T2" s="83"/>
      <c r="U2" s="83"/>
      <c r="V2" s="83"/>
      <c r="W2" s="83"/>
      <c r="X2" s="83"/>
      <c r="Y2" s="83"/>
      <c r="Z2" s="84"/>
      <c r="AA2" s="85"/>
      <c r="AB2" s="86"/>
      <c r="AC2" s="60"/>
      <c r="AD2" s="1"/>
      <c r="AE2" s="1"/>
      <c r="AF2" s="1"/>
    </row>
    <row r="3" spans="1:35">
      <c r="A3" s="326"/>
      <c r="B3" s="16" t="s">
        <v>88</v>
      </c>
      <c r="C3" s="23"/>
      <c r="D3" s="23"/>
      <c r="E3" s="23"/>
      <c r="F3" s="23"/>
      <c r="G3" s="23"/>
      <c r="H3" s="23"/>
      <c r="I3" s="23"/>
      <c r="J3" s="16"/>
      <c r="K3" s="276"/>
      <c r="L3" s="28"/>
      <c r="M3" s="23"/>
      <c r="N3" s="23"/>
      <c r="O3" s="23"/>
      <c r="P3" s="121"/>
      <c r="Q3" s="91"/>
      <c r="R3" s="89"/>
      <c r="S3" s="83"/>
      <c r="T3" s="83"/>
      <c r="U3" s="83"/>
      <c r="V3" s="83"/>
      <c r="W3" s="83"/>
      <c r="X3" s="83"/>
      <c r="Y3" s="83"/>
      <c r="Z3" s="84"/>
      <c r="AA3" s="85"/>
      <c r="AB3" s="86"/>
      <c r="AC3" s="60"/>
      <c r="AD3" s="1"/>
      <c r="AE3" s="1"/>
      <c r="AF3" s="1"/>
    </row>
    <row r="4" spans="1:35">
      <c r="A4" s="16"/>
      <c r="B4" s="16"/>
      <c r="C4" s="23"/>
      <c r="D4" s="23"/>
      <c r="E4" s="23" t="s">
        <v>45</v>
      </c>
      <c r="F4" s="23"/>
      <c r="G4" s="23"/>
      <c r="H4" s="23"/>
      <c r="I4" s="23"/>
      <c r="J4" s="23"/>
      <c r="K4" s="276"/>
      <c r="L4" s="28"/>
      <c r="M4" s="23"/>
      <c r="N4" s="23"/>
      <c r="O4" s="23"/>
      <c r="P4" s="121"/>
      <c r="Q4" s="91"/>
      <c r="R4" s="89"/>
      <c r="S4" s="83"/>
      <c r="T4" s="83"/>
      <c r="U4" s="83"/>
      <c r="V4" s="83"/>
      <c r="W4" s="83"/>
      <c r="X4" s="83"/>
      <c r="Y4" s="83"/>
      <c r="Z4" s="84"/>
      <c r="AA4" s="85"/>
      <c r="AB4" s="86"/>
      <c r="AC4" s="60"/>
      <c r="AD4" s="1"/>
      <c r="AE4" s="1"/>
      <c r="AF4" s="1"/>
    </row>
    <row r="5" spans="1:35" ht="26.4">
      <c r="B5" s="443" t="s">
        <v>171</v>
      </c>
      <c r="C5" s="39" t="s">
        <v>85</v>
      </c>
      <c r="D5" s="23" t="s">
        <v>27</v>
      </c>
      <c r="E5" s="23"/>
      <c r="F5" s="443" t="s">
        <v>180</v>
      </c>
      <c r="G5" s="443" t="s">
        <v>123</v>
      </c>
      <c r="H5" s="39" t="s">
        <v>162</v>
      </c>
      <c r="I5" s="39" t="s">
        <v>52</v>
      </c>
      <c r="J5" s="39"/>
      <c r="K5" s="276" t="s">
        <v>60</v>
      </c>
      <c r="L5" s="450" t="s">
        <v>124</v>
      </c>
      <c r="M5" s="20"/>
      <c r="N5" s="28"/>
      <c r="O5" s="28"/>
      <c r="P5" s="118"/>
      <c r="Q5" s="82"/>
      <c r="R5" s="82"/>
      <c r="S5" s="82"/>
      <c r="T5" s="82"/>
      <c r="U5" s="82"/>
      <c r="V5" s="82"/>
      <c r="W5" s="82"/>
      <c r="X5" s="82"/>
      <c r="Y5" s="82"/>
      <c r="Z5" s="81"/>
      <c r="AA5" s="92"/>
      <c r="AB5" s="93"/>
    </row>
    <row r="6" spans="1:35" ht="18">
      <c r="A6" s="480" t="s">
        <v>186</v>
      </c>
      <c r="B6" s="444">
        <v>1.573</v>
      </c>
      <c r="C6" s="270">
        <f>$B$21*B6+$B$22</f>
        <v>50</v>
      </c>
      <c r="D6" s="246">
        <f t="shared" ref="D6:D18" si="0">RANK(C6,$C$6:$C$18)</f>
        <v>1</v>
      </c>
      <c r="E6" s="183"/>
      <c r="F6" s="401">
        <v>5.7000000000000002E-2</v>
      </c>
      <c r="G6" s="446">
        <v>1.31</v>
      </c>
      <c r="H6" s="289">
        <f>+G6/F6</f>
        <v>22.982456140350877</v>
      </c>
      <c r="I6" s="368">
        <f>$F$21*H6+$F$22</f>
        <v>50</v>
      </c>
      <c r="J6" s="246">
        <f>RANK(I6,$I$6:$I$18)</f>
        <v>1</v>
      </c>
      <c r="K6" s="123">
        <f>C6+I6</f>
        <v>100</v>
      </c>
      <c r="L6" s="451"/>
      <c r="M6" s="125"/>
      <c r="N6" s="28"/>
      <c r="O6" s="28"/>
      <c r="P6" s="122"/>
      <c r="Q6" s="82"/>
      <c r="R6" s="82"/>
      <c r="S6" s="82"/>
      <c r="T6" s="82"/>
      <c r="U6" s="82"/>
      <c r="V6" s="82"/>
      <c r="W6" s="82"/>
      <c r="X6" s="82"/>
      <c r="Y6" s="82"/>
      <c r="Z6" s="81"/>
      <c r="AA6" s="92"/>
      <c r="AB6" s="93"/>
      <c r="AH6" s="31"/>
      <c r="AI6" s="31"/>
    </row>
    <row r="7" spans="1:35" ht="18">
      <c r="A7" s="480" t="s">
        <v>187</v>
      </c>
      <c r="B7" s="445">
        <v>45.567</v>
      </c>
      <c r="C7" s="270">
        <f t="shared" ref="C7" si="1">$B$21*B7+$B$22</f>
        <v>47.906992699516337</v>
      </c>
      <c r="D7" s="246">
        <f t="shared" si="0"/>
        <v>6</v>
      </c>
      <c r="E7" s="202"/>
      <c r="F7" s="447">
        <v>0.106</v>
      </c>
      <c r="G7" s="448">
        <v>1.3</v>
      </c>
      <c r="H7" s="289">
        <f t="shared" ref="H7:H9" si="2">+G7/F7</f>
        <v>12.264150943396228</v>
      </c>
      <c r="I7" s="368">
        <f t="shared" ref="I7:I18" si="3">$F$21*H7+$F$22</f>
        <v>26.681549762350571</v>
      </c>
      <c r="J7" s="246">
        <f>RANK(I7,$I$6:$I$18)</f>
        <v>9</v>
      </c>
      <c r="K7" s="123">
        <f t="shared" ref="K7:K13" si="4">C7+I7</f>
        <v>74.588542461866908</v>
      </c>
      <c r="L7" s="451"/>
      <c r="M7" s="125"/>
      <c r="N7" s="28"/>
      <c r="O7" s="28"/>
      <c r="P7" s="118"/>
      <c r="Q7" s="82"/>
      <c r="R7" s="82"/>
      <c r="S7" s="82"/>
      <c r="T7" s="82"/>
      <c r="U7" s="82"/>
      <c r="V7" s="82"/>
      <c r="W7" s="82"/>
      <c r="X7" s="82"/>
      <c r="Y7" s="82"/>
      <c r="Z7" s="81"/>
      <c r="AA7" s="92"/>
      <c r="AB7" s="93"/>
      <c r="AH7" s="31"/>
      <c r="AI7" s="31"/>
    </row>
    <row r="8" spans="1:35" ht="18">
      <c r="A8" s="480" t="s">
        <v>188</v>
      </c>
      <c r="B8" s="445">
        <v>4.7220000000000004</v>
      </c>
      <c r="C8" s="270">
        <f>$B$21*B8+$B$22</f>
        <v>49.850186843905462</v>
      </c>
      <c r="D8" s="246">
        <f t="shared" si="0"/>
        <v>2</v>
      </c>
      <c r="E8" s="202"/>
      <c r="F8" s="447">
        <v>0.06</v>
      </c>
      <c r="G8" s="449">
        <v>1.31</v>
      </c>
      <c r="H8" s="289">
        <f t="shared" si="2"/>
        <v>21.833333333333336</v>
      </c>
      <c r="I8" s="368">
        <f t="shared" si="3"/>
        <v>47.500000000000007</v>
      </c>
      <c r="J8" s="246">
        <f>RANK(I8,$I$6:$I$18)</f>
        <v>2</v>
      </c>
      <c r="K8" s="123">
        <f t="shared" si="4"/>
        <v>97.350186843905476</v>
      </c>
      <c r="L8" s="451"/>
      <c r="M8" s="125"/>
      <c r="N8" s="28"/>
      <c r="O8" s="28"/>
      <c r="P8" s="118"/>
      <c r="Q8" s="82"/>
      <c r="R8" s="82"/>
      <c r="S8" s="82"/>
      <c r="T8" s="82"/>
      <c r="U8" s="82"/>
      <c r="V8" s="82"/>
      <c r="W8" s="82"/>
      <c r="X8" s="82"/>
      <c r="Y8" s="82"/>
      <c r="Z8" s="81"/>
      <c r="AA8" s="92"/>
      <c r="AB8" s="93"/>
      <c r="AH8" s="31"/>
      <c r="AI8" s="31"/>
    </row>
    <row r="9" spans="1:35" s="205" customFormat="1" ht="18">
      <c r="A9" s="480" t="s">
        <v>189</v>
      </c>
      <c r="B9" s="445">
        <v>4.7910000000000004</v>
      </c>
      <c r="C9" s="270">
        <f>$B$21*B9+$B$22</f>
        <v>49.846904180275573</v>
      </c>
      <c r="D9" s="246">
        <f t="shared" si="0"/>
        <v>3</v>
      </c>
      <c r="E9" s="232"/>
      <c r="F9" s="447">
        <v>6.6000000000000003E-2</v>
      </c>
      <c r="G9" s="448">
        <v>1.31</v>
      </c>
      <c r="H9" s="289">
        <f t="shared" si="2"/>
        <v>19.848484848484848</v>
      </c>
      <c r="I9" s="368">
        <f t="shared" si="3"/>
        <v>43.18181818181818</v>
      </c>
      <c r="J9" s="246">
        <f>RANK(I9,$I$6:$I$18)</f>
        <v>3</v>
      </c>
      <c r="K9" s="123">
        <f t="shared" si="4"/>
        <v>93.02872236209376</v>
      </c>
      <c r="L9" s="451"/>
      <c r="M9" s="237"/>
      <c r="N9" s="230"/>
      <c r="O9" s="230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08"/>
      <c r="AB9" s="206"/>
      <c r="AC9" s="206"/>
      <c r="AH9" s="236"/>
      <c r="AI9" s="236"/>
    </row>
    <row r="10" spans="1:35" s="205" customFormat="1" ht="18">
      <c r="A10" s="480" t="s">
        <v>190</v>
      </c>
      <c r="B10" s="445">
        <v>46.618000000000002</v>
      </c>
      <c r="C10" s="270">
        <f t="shared" ref="C10:C13" si="5">$B$21*B10+$B$22</f>
        <v>47.856991547704538</v>
      </c>
      <c r="D10" s="246">
        <f t="shared" si="0"/>
        <v>7</v>
      </c>
      <c r="E10" s="232"/>
      <c r="F10" s="447">
        <v>0.11899999999999999</v>
      </c>
      <c r="G10" s="448">
        <v>1.3</v>
      </c>
      <c r="H10" s="289">
        <f>+G10/F10</f>
        <v>10.92436974789916</v>
      </c>
      <c r="I10" s="368">
        <f t="shared" si="3"/>
        <v>23.766758611841684</v>
      </c>
      <c r="J10" s="246">
        <f t="shared" ref="J10:J18" si="6">RANK(I10,$I$6:$I$18)</f>
        <v>11</v>
      </c>
      <c r="K10" s="123">
        <f t="shared" si="4"/>
        <v>71.623750159546219</v>
      </c>
      <c r="L10" s="451"/>
      <c r="M10" s="237"/>
      <c r="N10" s="230"/>
      <c r="O10" s="230"/>
      <c r="P10" s="238"/>
      <c r="Q10" s="238"/>
      <c r="R10" s="238"/>
      <c r="S10" s="238"/>
      <c r="T10" s="235"/>
      <c r="U10" s="235"/>
      <c r="V10" s="235"/>
      <c r="W10" s="235"/>
      <c r="X10" s="235"/>
      <c r="Y10" s="235"/>
      <c r="Z10" s="208"/>
      <c r="AB10" s="206"/>
      <c r="AC10" s="206"/>
      <c r="AH10" s="236"/>
      <c r="AI10" s="236"/>
    </row>
    <row r="11" spans="1:35" ht="18">
      <c r="A11" s="480" t="s">
        <v>191</v>
      </c>
      <c r="B11" s="445">
        <v>23.52</v>
      </c>
      <c r="C11" s="270">
        <f>$B$21*B11+$B$22</f>
        <v>48.955875091518962</v>
      </c>
      <c r="D11" s="246">
        <f t="shared" si="0"/>
        <v>4</v>
      </c>
      <c r="E11" s="183"/>
      <c r="F11" s="447">
        <v>0.10100000000000001</v>
      </c>
      <c r="G11" s="448">
        <v>1.3</v>
      </c>
      <c r="H11" s="289">
        <f>+G11/F11</f>
        <v>12.87128712871287</v>
      </c>
      <c r="I11" s="368">
        <f t="shared" si="3"/>
        <v>28.002418562466932</v>
      </c>
      <c r="J11" s="246">
        <f t="shared" si="6"/>
        <v>6</v>
      </c>
      <c r="K11" s="123">
        <f t="shared" si="4"/>
        <v>76.958293653985891</v>
      </c>
      <c r="L11" s="451"/>
      <c r="M11" s="125"/>
      <c r="N11" s="28"/>
      <c r="O11" s="28"/>
      <c r="P11" s="122"/>
      <c r="Q11" s="95"/>
      <c r="R11" s="95"/>
      <c r="S11" s="95"/>
      <c r="T11" s="82"/>
      <c r="U11" s="82"/>
      <c r="V11" s="82"/>
      <c r="W11" s="82"/>
      <c r="X11" s="82"/>
      <c r="Y11" s="82"/>
      <c r="Z11" s="81"/>
      <c r="AA11" s="92"/>
      <c r="AB11" s="93"/>
      <c r="AH11" s="31"/>
      <c r="AI11" s="31"/>
    </row>
    <row r="12" spans="1:35" ht="18">
      <c r="A12" s="480" t="s">
        <v>192</v>
      </c>
      <c r="B12" s="445">
        <v>181.857</v>
      </c>
      <c r="C12" s="270">
        <f t="shared" si="5"/>
        <v>41.423018407955716</v>
      </c>
      <c r="D12" s="246">
        <f t="shared" si="0"/>
        <v>10</v>
      </c>
      <c r="E12" s="183"/>
      <c r="F12" s="447">
        <v>0.10199999999999999</v>
      </c>
      <c r="G12" s="448">
        <v>1.3</v>
      </c>
      <c r="H12" s="289">
        <f t="shared" ref="H12:H18" si="7">+G12/F12</f>
        <v>12.745098039215687</v>
      </c>
      <c r="I12" s="368">
        <f t="shared" si="3"/>
        <v>27.727885047148632</v>
      </c>
      <c r="J12" s="246">
        <f t="shared" si="6"/>
        <v>7</v>
      </c>
      <c r="K12" s="123">
        <f t="shared" si="4"/>
        <v>69.150903455104356</v>
      </c>
      <c r="L12" s="451"/>
      <c r="M12" s="125"/>
      <c r="N12" s="28"/>
      <c r="O12" s="28"/>
      <c r="P12" s="122"/>
      <c r="Q12" s="95"/>
      <c r="R12" s="95"/>
      <c r="S12" s="95"/>
      <c r="T12" s="82"/>
      <c r="U12" s="82"/>
      <c r="V12" s="82"/>
      <c r="W12" s="82"/>
      <c r="X12" s="82"/>
      <c r="Y12" s="82"/>
      <c r="Z12" s="81"/>
      <c r="AA12" s="92"/>
      <c r="AB12" s="93"/>
      <c r="AH12" s="31"/>
      <c r="AI12" s="31"/>
    </row>
    <row r="13" spans="1:35" ht="18">
      <c r="A13" s="480" t="s">
        <v>193</v>
      </c>
      <c r="B13" s="445">
        <v>26.387</v>
      </c>
      <c r="C13" s="270">
        <f t="shared" si="5"/>
        <v>48.819478038955275</v>
      </c>
      <c r="D13" s="246">
        <f t="shared" si="0"/>
        <v>5</v>
      </c>
      <c r="E13" s="202"/>
      <c r="F13" s="447">
        <v>0.08</v>
      </c>
      <c r="G13" s="448">
        <v>1.31</v>
      </c>
      <c r="H13" s="289">
        <f t="shared" si="7"/>
        <v>16.375</v>
      </c>
      <c r="I13" s="368">
        <f t="shared" si="3"/>
        <v>35.625</v>
      </c>
      <c r="J13" s="246">
        <f t="shared" si="6"/>
        <v>4</v>
      </c>
      <c r="K13" s="123">
        <f t="shared" si="4"/>
        <v>84.444478038955282</v>
      </c>
      <c r="L13" s="451"/>
      <c r="M13" s="125"/>
      <c r="N13" s="28"/>
      <c r="O13" s="28"/>
      <c r="P13" s="118"/>
      <c r="Q13" s="82"/>
      <c r="R13" s="82"/>
      <c r="S13" s="82"/>
      <c r="T13" s="82"/>
      <c r="U13" s="82"/>
      <c r="V13" s="82"/>
      <c r="W13" s="82"/>
      <c r="X13" s="82"/>
      <c r="Y13" s="82"/>
      <c r="Z13" s="81"/>
      <c r="AA13" s="92"/>
      <c r="AB13" s="93"/>
      <c r="AH13" s="31"/>
      <c r="AI13" s="31"/>
    </row>
    <row r="14" spans="1:35" ht="18">
      <c r="A14" s="480" t="s">
        <v>194</v>
      </c>
      <c r="B14" s="445">
        <v>172.06899999999999</v>
      </c>
      <c r="C14" s="270">
        <f>$B$21*B14+$B$22</f>
        <v>41.888680895047912</v>
      </c>
      <c r="D14" s="246">
        <f t="shared" si="0"/>
        <v>9</v>
      </c>
      <c r="E14" s="183"/>
      <c r="F14" s="447">
        <v>0.104</v>
      </c>
      <c r="G14" s="448">
        <v>1.3</v>
      </c>
      <c r="H14" s="289">
        <f t="shared" si="7"/>
        <v>12.500000000000002</v>
      </c>
      <c r="I14" s="368">
        <f t="shared" si="3"/>
        <v>27.194656488549622</v>
      </c>
      <c r="J14" s="246">
        <f t="shared" si="6"/>
        <v>8</v>
      </c>
      <c r="K14" s="123">
        <f>C14+I14</f>
        <v>69.083337383597538</v>
      </c>
      <c r="L14" s="451"/>
      <c r="M14" s="125"/>
      <c r="N14" s="28"/>
      <c r="O14" s="28"/>
      <c r="P14" s="118"/>
      <c r="Q14" s="82"/>
      <c r="R14" s="82"/>
      <c r="S14" s="82"/>
      <c r="T14" s="82"/>
      <c r="U14" s="82"/>
      <c r="V14" s="82"/>
      <c r="W14" s="82"/>
      <c r="X14" s="82"/>
      <c r="Y14" s="82"/>
      <c r="Z14" s="81"/>
      <c r="AA14" s="92"/>
      <c r="AB14" s="93"/>
      <c r="AH14" s="31"/>
      <c r="AI14" s="31"/>
    </row>
    <row r="15" spans="1:35" ht="18">
      <c r="A15" s="480" t="s">
        <v>195</v>
      </c>
      <c r="B15" s="445">
        <v>208.54599999999999</v>
      </c>
      <c r="C15" s="270">
        <f>$B$21*B15+$B$22</f>
        <v>40.153293630881379</v>
      </c>
      <c r="D15" s="246">
        <f t="shared" si="0"/>
        <v>11</v>
      </c>
      <c r="E15" s="402"/>
      <c r="F15" s="447">
        <v>0.11899999999999999</v>
      </c>
      <c r="G15" s="448">
        <v>1.31</v>
      </c>
      <c r="H15" s="289">
        <f t="shared" si="7"/>
        <v>11.00840336134454</v>
      </c>
      <c r="I15" s="368">
        <f t="shared" si="3"/>
        <v>23.949579831932777</v>
      </c>
      <c r="J15" s="246">
        <f t="shared" si="6"/>
        <v>10</v>
      </c>
      <c r="K15" s="123">
        <f>C15+I15</f>
        <v>64.102873462814159</v>
      </c>
      <c r="L15" s="451"/>
      <c r="M15" s="125"/>
      <c r="N15" s="28"/>
      <c r="O15" s="28"/>
      <c r="P15" s="118"/>
      <c r="Q15" s="82"/>
      <c r="R15" s="82"/>
      <c r="S15" s="82"/>
      <c r="T15" s="82"/>
      <c r="U15" s="82"/>
      <c r="V15" s="82"/>
      <c r="W15" s="82"/>
      <c r="X15" s="82"/>
      <c r="Y15" s="82"/>
      <c r="Z15" s="81"/>
      <c r="AA15" s="92"/>
      <c r="AB15" s="93"/>
      <c r="AH15" s="31"/>
      <c r="AI15" s="31"/>
    </row>
    <row r="16" spans="1:35" s="140" customFormat="1" ht="18">
      <c r="A16" s="480" t="s">
        <v>196</v>
      </c>
      <c r="B16" s="445">
        <v>51.697000000000003</v>
      </c>
      <c r="C16" s="270">
        <f>$B$21*B16+$B$22</f>
        <v>47.615358959643515</v>
      </c>
      <c r="D16" s="246">
        <f t="shared" si="0"/>
        <v>8</v>
      </c>
      <c r="E16" s="183"/>
      <c r="F16" s="447">
        <v>0.09</v>
      </c>
      <c r="G16" s="448">
        <v>1.3</v>
      </c>
      <c r="H16" s="289">
        <f t="shared" si="7"/>
        <v>14.444444444444445</v>
      </c>
      <c r="I16" s="368">
        <f t="shared" si="3"/>
        <v>31.424936386768447</v>
      </c>
      <c r="J16" s="246">
        <f t="shared" si="6"/>
        <v>5</v>
      </c>
      <c r="K16" s="123">
        <f>C16+I16</f>
        <v>79.040295346411966</v>
      </c>
      <c r="L16" s="451"/>
      <c r="M16" s="149"/>
      <c r="N16" s="148"/>
      <c r="O16" s="148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34"/>
      <c r="AA16" s="143"/>
      <c r="AB16" s="142"/>
      <c r="AC16" s="139"/>
      <c r="AH16" s="151"/>
      <c r="AI16" s="151"/>
    </row>
    <row r="17" spans="1:35" s="140" customFormat="1" ht="18">
      <c r="A17" s="480" t="s">
        <v>197</v>
      </c>
      <c r="B17" s="445">
        <v>1000</v>
      </c>
      <c r="C17" s="270">
        <f>$B$21*B17+$B$22</f>
        <v>2.5</v>
      </c>
      <c r="D17" s="246">
        <f t="shared" si="0"/>
        <v>13</v>
      </c>
      <c r="E17" s="183"/>
      <c r="F17" s="447">
        <v>0</v>
      </c>
      <c r="G17" s="448">
        <v>0</v>
      </c>
      <c r="H17" s="289">
        <v>0</v>
      </c>
      <c r="I17" s="368">
        <f t="shared" si="3"/>
        <v>0</v>
      </c>
      <c r="J17" s="246">
        <f t="shared" si="6"/>
        <v>13</v>
      </c>
      <c r="K17" s="123">
        <f>C17+I17</f>
        <v>2.5</v>
      </c>
      <c r="L17" s="451" t="s">
        <v>304</v>
      </c>
      <c r="M17" s="149"/>
      <c r="N17" s="148"/>
      <c r="O17" s="148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34"/>
      <c r="AA17" s="143"/>
      <c r="AB17" s="142"/>
      <c r="AC17" s="139"/>
      <c r="AH17" s="151"/>
      <c r="AI17" s="151"/>
    </row>
    <row r="18" spans="1:35" ht="18">
      <c r="A18" s="480" t="s">
        <v>198</v>
      </c>
      <c r="B18" s="445">
        <v>320.44499999999999</v>
      </c>
      <c r="C18" s="270">
        <f>$B$21*B18+$B$22</f>
        <v>34.829717145069196</v>
      </c>
      <c r="D18" s="246">
        <f t="shared" si="0"/>
        <v>12</v>
      </c>
      <c r="E18" s="183"/>
      <c r="F18" s="447">
        <v>0.14399999999999999</v>
      </c>
      <c r="G18" s="448">
        <v>1.31</v>
      </c>
      <c r="H18" s="289">
        <f t="shared" si="7"/>
        <v>9.0972222222222232</v>
      </c>
      <c r="I18" s="368">
        <f t="shared" si="3"/>
        <v>19.791666666666668</v>
      </c>
      <c r="J18" s="246">
        <f t="shared" si="6"/>
        <v>12</v>
      </c>
      <c r="K18" s="123">
        <f>C18+I18</f>
        <v>54.621383811735868</v>
      </c>
      <c r="L18" s="452"/>
      <c r="M18" s="40"/>
      <c r="N18" s="40"/>
      <c r="O18" s="40"/>
      <c r="P18" s="124"/>
      <c r="Q18" s="97"/>
      <c r="R18" s="97"/>
      <c r="S18" s="98"/>
      <c r="T18" s="98"/>
      <c r="U18" s="98"/>
      <c r="V18" s="98"/>
      <c r="W18" s="98"/>
      <c r="X18" s="98"/>
      <c r="Y18" s="98"/>
      <c r="Z18" s="99"/>
      <c r="AA18" s="100"/>
      <c r="AB18" s="101"/>
      <c r="AC18" s="48"/>
      <c r="AD18" s="32"/>
      <c r="AE18" s="32"/>
      <c r="AF18" s="32"/>
      <c r="AG18" s="32"/>
      <c r="AH18" s="31"/>
      <c r="AI18" s="31"/>
    </row>
    <row r="19" spans="1:35" ht="14.4">
      <c r="A19" s="374"/>
      <c r="B19" s="131"/>
      <c r="C19" s="96"/>
      <c r="D19" s="96"/>
      <c r="E19" s="96"/>
      <c r="F19" s="96"/>
      <c r="G19" s="96"/>
      <c r="H19" s="96"/>
      <c r="I19" s="96"/>
      <c r="J19" s="96"/>
      <c r="K19" s="277"/>
      <c r="L19" s="453"/>
      <c r="M19" s="96"/>
      <c r="N19" s="103"/>
      <c r="O19" s="94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04"/>
      <c r="AA19" s="110"/>
      <c r="AB19" s="114"/>
      <c r="AC19" s="48"/>
      <c r="AD19" s="32"/>
      <c r="AE19" s="32"/>
      <c r="AF19" s="32"/>
      <c r="AG19" s="32"/>
      <c r="AH19" s="31"/>
      <c r="AI19" s="31"/>
    </row>
    <row r="20" spans="1:35">
      <c r="A20" s="87"/>
      <c r="B20" s="96"/>
      <c r="C20" s="96"/>
      <c r="D20" s="96"/>
      <c r="E20" s="96"/>
      <c r="F20" s="96"/>
      <c r="G20" s="96"/>
      <c r="H20" s="96"/>
      <c r="I20" s="96"/>
      <c r="J20" s="96"/>
      <c r="K20" s="277"/>
      <c r="L20" s="96"/>
      <c r="M20" s="96"/>
      <c r="N20" s="103"/>
      <c r="O20" s="94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04"/>
      <c r="AA20" s="110"/>
      <c r="AB20" s="114"/>
      <c r="AC20" s="48"/>
      <c r="AD20" s="32"/>
      <c r="AE20" s="32"/>
      <c r="AF20" s="32"/>
      <c r="AG20" s="32"/>
      <c r="AH20" s="31"/>
      <c r="AI20" s="31"/>
    </row>
    <row r="21" spans="1:35" ht="13.8">
      <c r="A21" s="87"/>
      <c r="B21" s="387">
        <f>(50-2.5)/(F1-F2)</f>
        <v>-4.7574835215794441E-2</v>
      </c>
      <c r="D21" s="138"/>
      <c r="E21" s="96"/>
      <c r="F21" s="387">
        <f>(50)/(J2-J1)</f>
        <v>2.1755725190839694</v>
      </c>
      <c r="G21" s="96"/>
      <c r="I21" s="96"/>
      <c r="J21" s="96"/>
      <c r="K21" s="277"/>
      <c r="L21" s="96"/>
      <c r="M21" s="96"/>
      <c r="N21" s="103"/>
      <c r="O21" s="94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04"/>
      <c r="AA21" s="115"/>
      <c r="AB21" s="114"/>
    </row>
    <row r="22" spans="1:35" ht="13.8">
      <c r="A22" s="87" t="s">
        <v>172</v>
      </c>
      <c r="B22" s="388">
        <f>2.5-(B21*F2)</f>
        <v>50.074835215794444</v>
      </c>
      <c r="D22" s="177" t="s">
        <v>45</v>
      </c>
      <c r="E22" s="96"/>
      <c r="F22" s="388">
        <f>-(F21*J1)</f>
        <v>0</v>
      </c>
      <c r="G22" s="96"/>
      <c r="I22" s="96"/>
      <c r="J22" s="96"/>
      <c r="K22" s="277"/>
      <c r="L22" s="96"/>
      <c r="M22" s="96"/>
      <c r="N22" s="103"/>
      <c r="O22" s="94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04"/>
      <c r="AA22" s="115"/>
      <c r="AB22" s="114"/>
    </row>
    <row r="23" spans="1:35" ht="13.8">
      <c r="A23" s="87" t="s">
        <v>173</v>
      </c>
      <c r="B23" s="88"/>
      <c r="C23" s="176"/>
      <c r="D23" s="176"/>
      <c r="E23" s="88"/>
      <c r="F23" s="88"/>
      <c r="G23" s="88"/>
      <c r="H23" s="88"/>
      <c r="I23" s="88"/>
      <c r="J23" s="88"/>
      <c r="K23" s="277"/>
      <c r="L23" s="88"/>
      <c r="M23" s="88"/>
      <c r="N23" s="103"/>
      <c r="O23" s="94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104"/>
      <c r="AA23" s="115"/>
      <c r="AB23" s="114"/>
    </row>
    <row r="24" spans="1:35">
      <c r="A24" s="87"/>
      <c r="B24" s="96"/>
      <c r="C24" s="96" t="s">
        <v>45</v>
      </c>
      <c r="D24" s="179" t="s">
        <v>45</v>
      </c>
      <c r="E24" s="96"/>
      <c r="F24" s="96"/>
      <c r="G24" s="96"/>
      <c r="H24" s="96"/>
      <c r="I24" s="96"/>
      <c r="J24" s="96"/>
      <c r="K24" s="277"/>
      <c r="L24" s="96"/>
      <c r="M24" s="96"/>
      <c r="N24" s="103"/>
      <c r="O24" s="94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04"/>
      <c r="AA24" s="115"/>
      <c r="AB24" s="114"/>
    </row>
    <row r="25" spans="1:35">
      <c r="A25" s="87"/>
      <c r="B25" s="96"/>
      <c r="C25" s="96" t="s">
        <v>79</v>
      </c>
      <c r="D25" s="96"/>
      <c r="E25" s="96"/>
      <c r="F25" s="96"/>
      <c r="G25" s="96"/>
      <c r="H25" s="96"/>
      <c r="I25" s="96"/>
      <c r="J25" s="96"/>
      <c r="K25" s="277"/>
      <c r="L25" s="96"/>
      <c r="M25" s="96"/>
      <c r="N25" s="103"/>
      <c r="O25" s="94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04"/>
      <c r="AA25" s="115"/>
      <c r="AB25" s="114"/>
    </row>
    <row r="26" spans="1:3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277"/>
      <c r="L26" s="88"/>
      <c r="M26" s="88"/>
      <c r="N26" s="103"/>
      <c r="O26" s="94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104"/>
      <c r="AA26" s="115"/>
      <c r="AB26" s="114"/>
    </row>
    <row r="27" spans="1:3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277"/>
      <c r="L27" s="88"/>
      <c r="M27" s="88"/>
      <c r="N27" s="103"/>
      <c r="O27" s="94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104"/>
      <c r="AA27" s="115"/>
      <c r="AB27" s="114"/>
    </row>
    <row r="28" spans="1:35">
      <c r="A28" s="87"/>
      <c r="B28" s="96"/>
      <c r="C28" s="96"/>
      <c r="D28" s="96"/>
      <c r="E28" s="96"/>
      <c r="F28" s="96"/>
      <c r="G28" s="96"/>
      <c r="H28" s="96"/>
      <c r="I28" s="96"/>
      <c r="J28" s="96"/>
      <c r="K28" s="277"/>
      <c r="L28" s="96"/>
      <c r="M28" s="96"/>
      <c r="N28" s="103"/>
      <c r="O28" s="94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04"/>
      <c r="AA28" s="115"/>
      <c r="AB28" s="114"/>
    </row>
    <row r="29" spans="1:35">
      <c r="A29" s="87"/>
      <c r="B29" s="96"/>
      <c r="C29" s="96"/>
      <c r="D29" s="96"/>
      <c r="E29" s="96"/>
      <c r="F29" s="96"/>
      <c r="G29" s="96"/>
      <c r="H29" s="96"/>
      <c r="I29" s="96"/>
      <c r="J29" s="96"/>
      <c r="K29" s="277"/>
      <c r="L29" s="96"/>
      <c r="M29" s="96"/>
      <c r="N29" s="103"/>
      <c r="O29" s="94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04"/>
      <c r="AA29" s="115"/>
      <c r="AB29" s="114"/>
    </row>
    <row r="30" spans="1:3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277"/>
      <c r="L30" s="88"/>
      <c r="M30" s="88"/>
      <c r="N30" s="103"/>
      <c r="O30" s="94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104"/>
      <c r="AA30" s="115"/>
      <c r="AB30" s="114"/>
    </row>
    <row r="31" spans="1:35">
      <c r="A31" s="87"/>
      <c r="B31" s="116"/>
      <c r="C31" s="96"/>
      <c r="D31" s="96"/>
      <c r="E31" s="96"/>
      <c r="F31" s="96"/>
      <c r="G31" s="96"/>
      <c r="H31" s="96"/>
      <c r="I31" s="96"/>
      <c r="J31" s="96"/>
      <c r="K31" s="277"/>
      <c r="L31" s="96"/>
      <c r="M31" s="96"/>
      <c r="N31" s="103"/>
      <c r="O31" s="94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04"/>
      <c r="AA31" s="115"/>
      <c r="AB31" s="114"/>
    </row>
    <row r="32" spans="1:35">
      <c r="A32" s="87"/>
      <c r="B32" s="96"/>
      <c r="C32" s="96"/>
      <c r="D32" s="96"/>
      <c r="E32" s="96"/>
      <c r="F32" s="96"/>
      <c r="G32" s="96"/>
      <c r="H32" s="96"/>
      <c r="I32" s="96"/>
      <c r="J32" s="96"/>
      <c r="K32" s="277"/>
      <c r="L32" s="96"/>
      <c r="M32" s="96"/>
      <c r="N32" s="104"/>
      <c r="O32" s="94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04"/>
      <c r="AA32" s="115"/>
      <c r="AB32" s="86"/>
    </row>
    <row r="33" spans="1:28">
      <c r="A33" s="87"/>
      <c r="B33" s="88"/>
      <c r="C33" s="88"/>
      <c r="D33" s="172"/>
      <c r="E33" s="73"/>
      <c r="F33" s="73"/>
      <c r="G33" s="88"/>
      <c r="H33" s="88"/>
      <c r="I33" s="88"/>
      <c r="J33" s="88"/>
      <c r="K33" s="277"/>
      <c r="L33" s="88"/>
      <c r="M33" s="88"/>
      <c r="N33" s="103"/>
      <c r="O33" s="94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104"/>
      <c r="AA33" s="115"/>
      <c r="AB33" s="114"/>
    </row>
    <row r="34" spans="1:28">
      <c r="A34" s="87"/>
      <c r="B34" s="96"/>
      <c r="C34" s="96"/>
      <c r="D34" s="73"/>
      <c r="E34" s="73"/>
      <c r="F34" s="171"/>
      <c r="G34" s="168"/>
      <c r="H34" s="168"/>
      <c r="I34" s="168"/>
      <c r="J34" s="96"/>
      <c r="K34" s="277"/>
      <c r="L34" s="96"/>
      <c r="M34" s="96"/>
      <c r="N34" s="103"/>
      <c r="O34" s="94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04"/>
      <c r="AA34" s="115"/>
      <c r="AB34" s="114"/>
    </row>
    <row r="35" spans="1:28">
      <c r="A35" s="87"/>
      <c r="B35" s="96"/>
      <c r="C35" s="88"/>
      <c r="D35" s="73"/>
      <c r="E35" s="73"/>
      <c r="F35" s="73"/>
      <c r="G35" s="88"/>
      <c r="H35" s="88"/>
      <c r="I35" s="88"/>
      <c r="J35" s="88"/>
      <c r="K35" s="277"/>
      <c r="L35" s="88"/>
      <c r="M35" s="88"/>
      <c r="N35" s="103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104"/>
      <c r="AA35" s="115"/>
      <c r="AB35" s="114"/>
    </row>
    <row r="36" spans="1:28">
      <c r="A36" s="81"/>
      <c r="B36" s="88"/>
      <c r="C36" s="88"/>
      <c r="D36" s="88"/>
      <c r="E36" s="88"/>
      <c r="F36" s="88"/>
      <c r="G36" s="88"/>
      <c r="H36" s="88"/>
      <c r="I36" s="88"/>
      <c r="J36" s="88"/>
      <c r="K36" s="277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115"/>
      <c r="AB36" s="86"/>
    </row>
    <row r="37" spans="1:28">
      <c r="A37" s="81"/>
      <c r="B37" s="88"/>
      <c r="C37" s="88"/>
      <c r="D37" s="88"/>
      <c r="E37" s="88"/>
      <c r="F37" s="88"/>
      <c r="G37" s="88"/>
      <c r="H37" s="88"/>
      <c r="I37" s="88"/>
      <c r="J37" s="88"/>
      <c r="K37" s="277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115"/>
      <c r="AB37" s="86"/>
    </row>
    <row r="38" spans="1:28">
      <c r="A38" s="81"/>
      <c r="B38" s="90"/>
      <c r="C38" s="90"/>
      <c r="D38" s="90"/>
      <c r="E38" s="90"/>
      <c r="F38" s="90"/>
      <c r="G38" s="90"/>
      <c r="H38" s="90"/>
      <c r="I38" s="90"/>
      <c r="J38" s="90"/>
      <c r="K38" s="278"/>
      <c r="L38" s="90"/>
      <c r="M38" s="90"/>
      <c r="N38" s="90"/>
      <c r="O38" s="88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115"/>
      <c r="AB38" s="86"/>
    </row>
    <row r="39" spans="1:28">
      <c r="A39" s="106"/>
      <c r="B39" s="88"/>
      <c r="C39" s="88"/>
      <c r="D39" s="88"/>
      <c r="E39" s="88"/>
      <c r="F39" s="88"/>
      <c r="G39" s="88"/>
      <c r="H39" s="88"/>
      <c r="I39" s="88"/>
      <c r="J39" s="88"/>
      <c r="K39" s="277"/>
      <c r="L39" s="88"/>
      <c r="M39" s="88"/>
      <c r="N39" s="103"/>
      <c r="O39" s="94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104"/>
      <c r="AA39" s="115"/>
      <c r="AB39" s="114"/>
    </row>
    <row r="40" spans="1:28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277"/>
      <c r="L40" s="88"/>
      <c r="M40" s="88"/>
      <c r="N40" s="103"/>
      <c r="O40" s="94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104"/>
      <c r="AA40" s="115"/>
      <c r="AB40" s="114"/>
    </row>
    <row r="41" spans="1:28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277"/>
      <c r="L41" s="88"/>
      <c r="M41" s="88"/>
      <c r="N41" s="103"/>
      <c r="O41" s="94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104"/>
      <c r="AA41" s="115"/>
      <c r="AB41" s="114"/>
    </row>
    <row r="42" spans="1:28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277"/>
      <c r="L42" s="88"/>
      <c r="M42" s="88"/>
      <c r="N42" s="103"/>
      <c r="O42" s="94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104"/>
      <c r="AA42" s="115"/>
      <c r="AB42" s="114"/>
    </row>
    <row r="43" spans="1:28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277"/>
      <c r="L43" s="88"/>
      <c r="M43" s="88"/>
      <c r="N43" s="103"/>
      <c r="O43" s="94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104"/>
      <c r="AA43" s="115"/>
      <c r="AB43" s="114"/>
    </row>
    <row r="44" spans="1:28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277"/>
      <c r="L44" s="88"/>
      <c r="M44" s="88"/>
      <c r="N44" s="103"/>
      <c r="O44" s="94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104"/>
      <c r="AA44" s="115"/>
      <c r="AB44" s="114"/>
    </row>
    <row r="45" spans="1:28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277"/>
      <c r="L45" s="88"/>
      <c r="M45" s="88"/>
      <c r="N45" s="103"/>
      <c r="O45" s="94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104"/>
      <c r="AA45" s="115"/>
      <c r="AB45" s="114"/>
    </row>
    <row r="46" spans="1:28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277"/>
      <c r="L46" s="88"/>
      <c r="M46" s="88"/>
      <c r="N46" s="103"/>
      <c r="O46" s="94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104"/>
      <c r="AA46" s="115"/>
      <c r="AB46" s="114"/>
    </row>
    <row r="47" spans="1:28">
      <c r="A47" s="87"/>
      <c r="B47" s="88"/>
      <c r="C47" s="88"/>
      <c r="D47" s="88"/>
      <c r="E47" s="88"/>
      <c r="F47" s="88"/>
      <c r="G47" s="88"/>
      <c r="H47" s="88"/>
      <c r="I47" s="88"/>
      <c r="J47" s="88"/>
      <c r="K47" s="277"/>
      <c r="L47" s="88"/>
      <c r="M47" s="88"/>
      <c r="N47" s="103"/>
      <c r="O47" s="94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104"/>
      <c r="AA47" s="115"/>
      <c r="AB47" s="114"/>
    </row>
    <row r="48" spans="1:28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277"/>
      <c r="L48" s="88"/>
      <c r="M48" s="88"/>
      <c r="N48" s="103"/>
      <c r="O48" s="94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104"/>
      <c r="AA48" s="115"/>
      <c r="AB48" s="114"/>
    </row>
    <row r="49" spans="1:28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277"/>
      <c r="L49" s="88"/>
      <c r="M49" s="88"/>
      <c r="N49" s="103"/>
      <c r="O49" s="94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104"/>
      <c r="AA49" s="115"/>
      <c r="AB49" s="114"/>
    </row>
    <row r="50" spans="1:28">
      <c r="A50" s="87"/>
      <c r="B50" s="88"/>
      <c r="C50" s="88"/>
      <c r="D50" s="88"/>
      <c r="E50" s="88"/>
      <c r="F50" s="88"/>
      <c r="G50" s="88"/>
      <c r="H50" s="88"/>
      <c r="I50" s="88"/>
      <c r="J50" s="88"/>
      <c r="K50" s="277"/>
      <c r="L50" s="88"/>
      <c r="M50" s="88"/>
      <c r="N50" s="103"/>
      <c r="O50" s="94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104"/>
      <c r="AA50" s="115"/>
      <c r="AB50" s="114"/>
    </row>
    <row r="51" spans="1:28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277"/>
      <c r="L51" s="88"/>
      <c r="M51" s="88"/>
      <c r="N51" s="103"/>
      <c r="O51" s="94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104"/>
      <c r="AA51" s="115"/>
      <c r="AB51" s="114"/>
    </row>
    <row r="52" spans="1:28">
      <c r="A52" s="87"/>
      <c r="B52" s="96"/>
      <c r="C52" s="96"/>
      <c r="D52" s="96"/>
      <c r="E52" s="96"/>
      <c r="F52" s="96"/>
      <c r="G52" s="96"/>
      <c r="H52" s="96"/>
      <c r="I52" s="96"/>
      <c r="J52" s="96"/>
      <c r="K52" s="277"/>
      <c r="L52" s="96"/>
      <c r="M52" s="96"/>
      <c r="N52" s="104"/>
      <c r="O52" s="94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104"/>
      <c r="AA52" s="115"/>
      <c r="AB52" s="86"/>
    </row>
    <row r="53" spans="1:28">
      <c r="A53" s="87"/>
      <c r="B53" s="88"/>
      <c r="C53" s="88"/>
      <c r="D53" s="88"/>
      <c r="E53" s="88"/>
      <c r="F53" s="88"/>
      <c r="G53" s="88"/>
      <c r="H53" s="88"/>
      <c r="I53" s="88"/>
      <c r="J53" s="88"/>
      <c r="K53" s="277"/>
      <c r="L53" s="88"/>
      <c r="M53" s="88"/>
      <c r="N53" s="103"/>
      <c r="O53" s="94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104"/>
      <c r="AA53" s="115"/>
      <c r="AB53" s="114"/>
    </row>
    <row r="54" spans="1:28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277"/>
      <c r="L54" s="88"/>
      <c r="M54" s="88"/>
      <c r="N54" s="103"/>
      <c r="O54" s="94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104"/>
      <c r="AA54" s="115"/>
      <c r="AB54" s="114"/>
    </row>
    <row r="55" spans="1:28">
      <c r="A55" s="87"/>
      <c r="B55" s="115"/>
      <c r="C55" s="115"/>
      <c r="D55" s="115"/>
      <c r="E55" s="115"/>
      <c r="F55" s="115"/>
      <c r="G55" s="115"/>
      <c r="H55" s="115"/>
      <c r="I55" s="115"/>
      <c r="J55" s="115"/>
      <c r="K55" s="279"/>
      <c r="L55" s="115"/>
      <c r="M55" s="115"/>
      <c r="N55" s="107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08"/>
      <c r="AA55" s="115"/>
      <c r="AB55" s="86"/>
    </row>
    <row r="56" spans="1:28">
      <c r="A56" s="92"/>
      <c r="B56" s="115"/>
      <c r="C56" s="115"/>
      <c r="D56" s="115"/>
      <c r="E56" s="115"/>
      <c r="F56" s="115"/>
      <c r="G56" s="115"/>
      <c r="H56" s="115"/>
      <c r="I56" s="115"/>
      <c r="J56" s="115"/>
      <c r="K56" s="279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86"/>
    </row>
    <row r="57" spans="1:28">
      <c r="A57" s="92"/>
      <c r="B57" s="86"/>
      <c r="C57" s="86"/>
      <c r="D57" s="86"/>
      <c r="E57" s="86"/>
      <c r="F57" s="86"/>
      <c r="G57" s="86"/>
      <c r="H57" s="86"/>
      <c r="I57" s="86"/>
      <c r="J57" s="86"/>
      <c r="K57" s="280"/>
      <c r="L57" s="86"/>
      <c r="M57" s="86"/>
      <c r="N57" s="115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</row>
    <row r="58" spans="1:28">
      <c r="A58" s="92"/>
      <c r="B58" s="93"/>
      <c r="C58" s="93"/>
      <c r="D58" s="93"/>
      <c r="E58" s="93"/>
      <c r="F58" s="93"/>
      <c r="G58" s="93"/>
      <c r="H58" s="93"/>
      <c r="I58" s="93"/>
      <c r="J58" s="93"/>
      <c r="K58" s="281"/>
      <c r="L58" s="93"/>
      <c r="M58" s="93"/>
      <c r="N58" s="105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</row>
    <row r="59" spans="1:28">
      <c r="A59" s="92"/>
      <c r="B59" s="93"/>
      <c r="C59" s="93"/>
      <c r="D59" s="93"/>
      <c r="E59" s="93"/>
      <c r="F59" s="93"/>
      <c r="G59" s="93"/>
      <c r="H59" s="93"/>
      <c r="I59" s="93"/>
      <c r="J59" s="93"/>
      <c r="K59" s="281"/>
      <c r="L59" s="93"/>
      <c r="M59" s="93"/>
      <c r="N59" s="105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</row>
    <row r="60" spans="1:28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281"/>
      <c r="L60" s="93"/>
      <c r="M60" s="93"/>
      <c r="N60" s="105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</row>
    <row r="61" spans="1:28">
      <c r="A61" s="92"/>
      <c r="B61" s="93"/>
      <c r="C61" s="93"/>
      <c r="D61" s="93"/>
      <c r="E61" s="93"/>
      <c r="F61" s="93"/>
      <c r="G61" s="93"/>
      <c r="H61" s="93"/>
      <c r="I61" s="93"/>
      <c r="J61" s="93"/>
      <c r="K61" s="281"/>
      <c r="L61" s="93"/>
      <c r="M61" s="93"/>
      <c r="N61" s="105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</row>
    <row r="62" spans="1:28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282"/>
      <c r="L62" s="93"/>
      <c r="M62" s="93"/>
      <c r="N62" s="105"/>
      <c r="O62" s="93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2"/>
      <c r="AA62" s="92"/>
      <c r="AB62" s="93"/>
    </row>
    <row r="63" spans="1:28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282"/>
      <c r="L63" s="93"/>
      <c r="M63" s="93"/>
      <c r="N63" s="105"/>
      <c r="O63" s="93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2"/>
      <c r="AA63" s="92"/>
      <c r="AB63" s="93"/>
    </row>
    <row r="64" spans="1:28">
      <c r="A64" s="92"/>
      <c r="N64" s="42"/>
    </row>
    <row r="65" spans="14:14">
      <c r="N65" s="42"/>
    </row>
    <row r="66" spans="14:14">
      <c r="N66" s="42"/>
    </row>
    <row r="67" spans="14:14">
      <c r="N67" s="42"/>
    </row>
    <row r="68" spans="14:14">
      <c r="N68" s="42"/>
    </row>
    <row r="69" spans="14:14">
      <c r="N69" s="42"/>
    </row>
    <row r="70" spans="14:14">
      <c r="N70" s="42"/>
    </row>
    <row r="71" spans="14:14">
      <c r="N71" s="42"/>
    </row>
    <row r="72" spans="14:14">
      <c r="N72" s="42"/>
    </row>
    <row r="73" spans="14:14">
      <c r="N73" s="42"/>
    </row>
    <row r="74" spans="14:14">
      <c r="N74" s="42"/>
    </row>
    <row r="75" spans="14:14">
      <c r="N75" s="42"/>
    </row>
    <row r="76" spans="14:14">
      <c r="N76" s="42"/>
    </row>
    <row r="77" spans="14:14">
      <c r="N77" s="42"/>
    </row>
    <row r="78" spans="14:14">
      <c r="N78" s="42"/>
    </row>
    <row r="79" spans="14:14">
      <c r="N79" s="42"/>
    </row>
    <row r="80" spans="14:14">
      <c r="N80" s="42"/>
    </row>
    <row r="81" spans="14:14">
      <c r="N81" s="42"/>
    </row>
    <row r="82" spans="14:14">
      <c r="N82" s="42"/>
    </row>
    <row r="83" spans="14:14">
      <c r="N83" s="42"/>
    </row>
    <row r="84" spans="14:14">
      <c r="N84" s="42"/>
    </row>
    <row r="85" spans="14:14">
      <c r="N85" s="42"/>
    </row>
    <row r="86" spans="14:14">
      <c r="N86" s="42"/>
    </row>
    <row r="87" spans="14:14">
      <c r="N87" s="42"/>
    </row>
    <row r="88" spans="14:14">
      <c r="N88" s="42"/>
    </row>
    <row r="89" spans="14:14">
      <c r="N89" s="42"/>
    </row>
    <row r="90" spans="14:14">
      <c r="N90" s="42"/>
    </row>
    <row r="91" spans="14:14">
      <c r="N91" s="42"/>
    </row>
    <row r="92" spans="14:14">
      <c r="N92" s="42"/>
    </row>
    <row r="93" spans="14:14">
      <c r="N93" s="42"/>
    </row>
    <row r="94" spans="14:14">
      <c r="N94" s="42"/>
    </row>
    <row r="95" spans="14:14">
      <c r="N95" s="42"/>
    </row>
    <row r="96" spans="14:14">
      <c r="N96" s="42"/>
    </row>
    <row r="97" spans="14:14">
      <c r="N97" s="42"/>
    </row>
  </sheetData>
  <phoneticPr fontId="23" type="noConversion"/>
  <pageMargins left="0.75" right="0.75" top="1" bottom="1" header="0.5" footer="0.5"/>
  <pageSetup scale="77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E16"/>
  <sheetViews>
    <sheetView topLeftCell="A3" workbookViewId="0">
      <selection activeCell="D5" sqref="D5"/>
    </sheetView>
  </sheetViews>
  <sheetFormatPr defaultColWidth="8.88671875" defaultRowHeight="13.2"/>
  <cols>
    <col min="1" max="1" width="40.44140625" customWidth="1"/>
    <col min="2" max="2" width="17.6640625" bestFit="1" customWidth="1"/>
    <col min="3" max="3" width="14.6640625" style="167" customWidth="1"/>
    <col min="4" max="4" width="8.88671875" style="3"/>
  </cols>
  <sheetData>
    <row r="1" spans="1:5" ht="17.399999999999999">
      <c r="A1" s="7" t="s">
        <v>209</v>
      </c>
      <c r="B1" s="6"/>
      <c r="C1" s="245"/>
      <c r="D1" s="18"/>
      <c r="E1" s="6"/>
    </row>
    <row r="2" spans="1:5">
      <c r="A2" s="208"/>
      <c r="B2" s="10"/>
      <c r="C2" s="245"/>
      <c r="D2" s="260"/>
      <c r="E2" s="6"/>
    </row>
    <row r="3" spans="1:5">
      <c r="A3" s="12"/>
      <c r="B3" s="15" t="s">
        <v>17</v>
      </c>
      <c r="C3" s="55" t="s">
        <v>14</v>
      </c>
      <c r="D3" s="260"/>
      <c r="E3" s="260"/>
    </row>
    <row r="4" spans="1:5" ht="18">
      <c r="A4" s="480" t="s">
        <v>186</v>
      </c>
      <c r="B4" s="290" t="s">
        <v>300</v>
      </c>
      <c r="C4" s="55">
        <f>IF(B4="fail",0,50)</f>
        <v>50</v>
      </c>
      <c r="D4" s="260"/>
      <c r="E4" s="6"/>
    </row>
    <row r="5" spans="1:5" ht="18">
      <c r="A5" s="480" t="s">
        <v>187</v>
      </c>
      <c r="B5" s="290" t="s">
        <v>300</v>
      </c>
      <c r="C5" s="55">
        <f t="shared" ref="C5:C16" si="0">IF(B5="fail",0,50)</f>
        <v>50</v>
      </c>
      <c r="D5" s="260" t="s">
        <v>314</v>
      </c>
      <c r="E5" s="6"/>
    </row>
    <row r="6" spans="1:5" ht="18">
      <c r="A6" s="480" t="s">
        <v>188</v>
      </c>
      <c r="B6" s="290" t="s">
        <v>300</v>
      </c>
      <c r="C6" s="55">
        <f t="shared" si="0"/>
        <v>50</v>
      </c>
      <c r="D6" s="260"/>
      <c r="E6" s="6"/>
    </row>
    <row r="7" spans="1:5" s="205" customFormat="1" ht="18">
      <c r="A7" s="480" t="s">
        <v>189</v>
      </c>
      <c r="B7" s="290" t="s">
        <v>300</v>
      </c>
      <c r="C7" s="55">
        <f t="shared" si="0"/>
        <v>50</v>
      </c>
      <c r="D7" s="230"/>
      <c r="E7" s="208"/>
    </row>
    <row r="8" spans="1:5" s="252" customFormat="1" ht="18">
      <c r="A8" s="480" t="s">
        <v>190</v>
      </c>
      <c r="B8" s="290" t="s">
        <v>300</v>
      </c>
      <c r="C8" s="55">
        <f t="shared" si="0"/>
        <v>50</v>
      </c>
      <c r="D8" s="230"/>
      <c r="E8" s="251"/>
    </row>
    <row r="9" spans="1:5" ht="18">
      <c r="A9" s="480" t="s">
        <v>191</v>
      </c>
      <c r="B9" s="290" t="s">
        <v>300</v>
      </c>
      <c r="C9" s="55">
        <f t="shared" si="0"/>
        <v>50</v>
      </c>
      <c r="D9" s="18"/>
      <c r="E9" s="6"/>
    </row>
    <row r="10" spans="1:5" ht="18">
      <c r="A10" s="480" t="s">
        <v>192</v>
      </c>
      <c r="B10" s="290" t="s">
        <v>300</v>
      </c>
      <c r="C10" s="55">
        <f t="shared" si="0"/>
        <v>50</v>
      </c>
      <c r="D10" s="18"/>
      <c r="E10" s="6"/>
    </row>
    <row r="11" spans="1:5" ht="18">
      <c r="A11" s="480" t="s">
        <v>193</v>
      </c>
      <c r="B11" s="290" t="s">
        <v>301</v>
      </c>
      <c r="C11" s="55">
        <f t="shared" si="0"/>
        <v>0</v>
      </c>
      <c r="D11" s="18"/>
      <c r="E11" s="6"/>
    </row>
    <row r="12" spans="1:5" ht="18">
      <c r="A12" s="480" t="s">
        <v>194</v>
      </c>
      <c r="B12" s="290" t="s">
        <v>300</v>
      </c>
      <c r="C12" s="55">
        <f t="shared" si="0"/>
        <v>50</v>
      </c>
      <c r="D12" s="18"/>
      <c r="E12" s="6"/>
    </row>
    <row r="13" spans="1:5" s="140" customFormat="1" ht="18">
      <c r="A13" s="480" t="s">
        <v>195</v>
      </c>
      <c r="B13" s="290" t="s">
        <v>300</v>
      </c>
      <c r="C13" s="55">
        <f t="shared" si="0"/>
        <v>50</v>
      </c>
      <c r="D13" s="141"/>
      <c r="E13" s="133"/>
    </row>
    <row r="14" spans="1:5" s="140" customFormat="1" ht="18">
      <c r="A14" s="480" t="s">
        <v>196</v>
      </c>
      <c r="B14" s="290" t="s">
        <v>301</v>
      </c>
      <c r="C14" s="55">
        <f t="shared" si="0"/>
        <v>0</v>
      </c>
      <c r="D14" s="290" t="s">
        <v>302</v>
      </c>
      <c r="E14" s="133"/>
    </row>
    <row r="15" spans="1:5" s="140" customFormat="1" ht="18">
      <c r="A15" s="480" t="s">
        <v>197</v>
      </c>
      <c r="B15" s="290" t="s">
        <v>300</v>
      </c>
      <c r="C15" s="55">
        <f t="shared" si="0"/>
        <v>50</v>
      </c>
      <c r="D15" s="141"/>
      <c r="E15" s="133"/>
    </row>
    <row r="16" spans="1:5" ht="18">
      <c r="A16" s="480" t="s">
        <v>198</v>
      </c>
      <c r="B16" s="290" t="s">
        <v>301</v>
      </c>
      <c r="C16" s="55">
        <f t="shared" si="0"/>
        <v>0</v>
      </c>
    </row>
  </sheetData>
  <phoneticPr fontId="23" type="noConversion"/>
  <printOptions gridLines="1"/>
  <pageMargins left="0.75" right="0.75" top="1" bottom="1" header="0.5" footer="0.5"/>
  <pageSetup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23"/>
  <sheetViews>
    <sheetView topLeftCell="A5" workbookViewId="0">
      <selection activeCell="C6" sqref="C6:C18"/>
    </sheetView>
  </sheetViews>
  <sheetFormatPr defaultColWidth="8.88671875" defaultRowHeight="13.2"/>
  <cols>
    <col min="1" max="1" width="37.88671875" customWidth="1"/>
    <col min="2" max="2" width="10" customWidth="1"/>
    <col min="3" max="3" width="10.33203125" customWidth="1"/>
    <col min="4" max="4" width="13.44140625" customWidth="1"/>
    <col min="5" max="5" width="10.109375" customWidth="1"/>
    <col min="6" max="6" width="10" customWidth="1"/>
    <col min="7" max="7" width="11" customWidth="1"/>
    <col min="8" max="8" width="48" customWidth="1"/>
    <col min="9" max="10" width="10" customWidth="1"/>
  </cols>
  <sheetData>
    <row r="1" spans="1:12" ht="17.399999999999999">
      <c r="A1" s="456" t="s">
        <v>210</v>
      </c>
      <c r="B1" s="6"/>
      <c r="C1" s="6"/>
      <c r="D1" s="6"/>
      <c r="E1" s="6"/>
      <c r="F1" s="6"/>
      <c r="G1" s="6"/>
      <c r="H1" s="6"/>
      <c r="I1" s="9"/>
      <c r="J1" s="6"/>
      <c r="K1" s="6"/>
      <c r="L1" s="6"/>
    </row>
    <row r="2" spans="1:12">
      <c r="A2" s="38"/>
      <c r="B2" s="6"/>
      <c r="D2" s="9" t="s">
        <v>34</v>
      </c>
      <c r="E2" s="67">
        <f>MAX(D6:D18)</f>
        <v>52.44</v>
      </c>
      <c r="F2" s="6" t="s">
        <v>16</v>
      </c>
      <c r="G2" s="6"/>
      <c r="H2" s="6"/>
      <c r="I2" s="9"/>
      <c r="J2" s="6"/>
      <c r="K2" s="6"/>
      <c r="L2" s="6"/>
    </row>
    <row r="3" spans="1:12">
      <c r="A3" s="204"/>
      <c r="B3" s="6"/>
      <c r="D3" s="9" t="s">
        <v>35</v>
      </c>
      <c r="E3" s="67">
        <f>MIN(D6:D18)</f>
        <v>44.25</v>
      </c>
      <c r="F3" s="6" t="s">
        <v>16</v>
      </c>
      <c r="G3" s="6"/>
      <c r="H3" s="6"/>
      <c r="I3" s="9"/>
      <c r="J3" s="6"/>
      <c r="K3" s="6"/>
      <c r="L3" s="6"/>
    </row>
    <row r="4" spans="1:12">
      <c r="A4" s="16"/>
      <c r="B4" s="16"/>
      <c r="C4" s="16"/>
      <c r="D4" s="16"/>
      <c r="E4" s="6"/>
      <c r="F4" s="16"/>
      <c r="G4" s="16"/>
      <c r="H4" s="16"/>
      <c r="I4" s="24"/>
      <c r="J4" s="6"/>
      <c r="K4" s="6"/>
      <c r="L4" s="6"/>
    </row>
    <row r="5" spans="1:12" ht="30.75" customHeight="1" thickBot="1">
      <c r="A5" s="76"/>
      <c r="B5" s="39" t="s">
        <v>176</v>
      </c>
      <c r="C5" s="39" t="s">
        <v>177</v>
      </c>
      <c r="D5" s="39" t="s">
        <v>33</v>
      </c>
      <c r="E5" s="39" t="s">
        <v>9</v>
      </c>
      <c r="F5" s="23" t="s">
        <v>27</v>
      </c>
      <c r="G5" s="23"/>
      <c r="H5" s="470" t="s">
        <v>82</v>
      </c>
      <c r="I5" s="14"/>
      <c r="J5" s="13"/>
      <c r="K5" s="5"/>
      <c r="L5" s="6"/>
    </row>
    <row r="6" spans="1:12" ht="18">
      <c r="A6" s="480" t="s">
        <v>186</v>
      </c>
      <c r="B6" s="496">
        <v>54.88</v>
      </c>
      <c r="C6" s="503">
        <v>49.71</v>
      </c>
      <c r="D6" s="357">
        <f>MIN(B6:C6)</f>
        <v>49.71</v>
      </c>
      <c r="E6" s="57">
        <f>-$E$22*D6+$E$23</f>
        <v>25</v>
      </c>
      <c r="F6" s="132">
        <f>RANK(E6,$E$6:$E$18)</f>
        <v>12</v>
      </c>
      <c r="G6" s="52"/>
      <c r="H6" s="244"/>
      <c r="I6" s="26"/>
      <c r="J6" s="27"/>
      <c r="K6" s="18"/>
      <c r="L6" s="6"/>
    </row>
    <row r="7" spans="1:12" ht="18">
      <c r="A7" s="480" t="s">
        <v>187</v>
      </c>
      <c r="B7" s="495">
        <v>44.97</v>
      </c>
      <c r="C7" s="504">
        <v>44.25</v>
      </c>
      <c r="D7" s="357">
        <f t="shared" ref="D7:D18" si="0">MIN(B7:C7)</f>
        <v>44.25</v>
      </c>
      <c r="E7" s="57">
        <f t="shared" ref="E7:E18" si="1">-$E$22*D7+$E$23</f>
        <v>75</v>
      </c>
      <c r="F7" s="132">
        <f t="shared" ref="F7:F18" si="2">RANK(E7,$E$6:$E$18)</f>
        <v>1</v>
      </c>
      <c r="G7" s="75"/>
      <c r="H7" s="471"/>
      <c r="I7" s="26"/>
      <c r="J7" s="27"/>
      <c r="K7" s="18"/>
      <c r="L7" s="6"/>
    </row>
    <row r="8" spans="1:12" ht="18">
      <c r="A8" s="480" t="s">
        <v>188</v>
      </c>
      <c r="B8" s="495">
        <v>47.97</v>
      </c>
      <c r="C8" s="504">
        <v>44.47</v>
      </c>
      <c r="D8" s="357">
        <f t="shared" si="0"/>
        <v>44.47</v>
      </c>
      <c r="E8" s="57">
        <f t="shared" si="1"/>
        <v>72.985347985348028</v>
      </c>
      <c r="F8" s="132">
        <f t="shared" si="2"/>
        <v>3</v>
      </c>
      <c r="G8" s="52"/>
      <c r="H8" s="244"/>
      <c r="I8" s="26"/>
      <c r="J8" s="27"/>
      <c r="K8" s="18"/>
      <c r="L8" s="6"/>
    </row>
    <row r="9" spans="1:12" s="205" customFormat="1" ht="18">
      <c r="A9" s="480" t="s">
        <v>189</v>
      </c>
      <c r="B9" s="495">
        <v>53.38</v>
      </c>
      <c r="C9" s="504">
        <v>45.18</v>
      </c>
      <c r="D9" s="357">
        <f t="shared" si="0"/>
        <v>45.18</v>
      </c>
      <c r="E9" s="57">
        <f t="shared" ref="E9:E14" si="3">-$E$22*D9+$E$23</f>
        <v>66.483516483516496</v>
      </c>
      <c r="F9" s="132">
        <f t="shared" ref="F9:F14" si="4">RANK(E9,$E$6:$E$18)</f>
        <v>5</v>
      </c>
      <c r="G9" s="231"/>
      <c r="H9" s="244"/>
      <c r="I9" s="239"/>
      <c r="J9" s="203"/>
      <c r="K9" s="230"/>
      <c r="L9" s="208"/>
    </row>
    <row r="10" spans="1:12" s="205" customFormat="1" ht="18">
      <c r="A10" s="480" t="s">
        <v>190</v>
      </c>
      <c r="B10" s="495">
        <v>47.14</v>
      </c>
      <c r="C10" s="504">
        <v>45.5</v>
      </c>
      <c r="D10" s="357">
        <f t="shared" si="0"/>
        <v>45.5</v>
      </c>
      <c r="E10" s="57">
        <f t="shared" si="3"/>
        <v>63.553113553113576</v>
      </c>
      <c r="F10" s="132">
        <f t="shared" si="4"/>
        <v>7</v>
      </c>
      <c r="G10" s="231"/>
      <c r="H10" s="244"/>
      <c r="I10" s="239"/>
      <c r="J10" s="203"/>
      <c r="K10" s="230"/>
      <c r="L10" s="208"/>
    </row>
    <row r="11" spans="1:12" ht="18">
      <c r="A11" s="480" t="s">
        <v>191</v>
      </c>
      <c r="B11" s="495">
        <v>51</v>
      </c>
      <c r="C11" s="504">
        <v>47.34</v>
      </c>
      <c r="D11" s="357">
        <f t="shared" si="0"/>
        <v>47.34</v>
      </c>
      <c r="E11" s="57">
        <f t="shared" si="3"/>
        <v>46.703296703296701</v>
      </c>
      <c r="F11" s="132">
        <f t="shared" si="4"/>
        <v>8</v>
      </c>
      <c r="G11" s="52"/>
      <c r="H11" s="244"/>
      <c r="I11" s="26"/>
      <c r="J11" s="27"/>
      <c r="K11" s="18"/>
      <c r="L11" s="6"/>
    </row>
    <row r="12" spans="1:12" ht="18">
      <c r="A12" s="480" t="s">
        <v>192</v>
      </c>
      <c r="B12" s="495">
        <v>46.12</v>
      </c>
      <c r="C12" s="504">
        <v>44.28</v>
      </c>
      <c r="D12" s="357">
        <f t="shared" si="0"/>
        <v>44.28</v>
      </c>
      <c r="E12" s="57">
        <f t="shared" si="3"/>
        <v>74.725274725274744</v>
      </c>
      <c r="F12" s="132">
        <f t="shared" si="4"/>
        <v>2</v>
      </c>
      <c r="G12" s="52"/>
      <c r="H12" s="309"/>
      <c r="I12" s="26"/>
      <c r="J12" s="27"/>
      <c r="K12" s="18"/>
      <c r="L12" s="6"/>
    </row>
    <row r="13" spans="1:12" ht="18">
      <c r="A13" s="480" t="s">
        <v>193</v>
      </c>
      <c r="B13" s="495">
        <v>55.28</v>
      </c>
      <c r="C13" s="504">
        <v>49.46</v>
      </c>
      <c r="D13" s="357">
        <f t="shared" si="0"/>
        <v>49.46</v>
      </c>
      <c r="E13" s="57">
        <f t="shared" si="3"/>
        <v>27.289377289377285</v>
      </c>
      <c r="F13" s="132">
        <f t="shared" si="4"/>
        <v>11</v>
      </c>
      <c r="G13" s="52"/>
      <c r="H13" s="244"/>
      <c r="I13" s="26"/>
      <c r="J13" s="27"/>
      <c r="K13" s="18"/>
      <c r="L13" s="6"/>
    </row>
    <row r="14" spans="1:12" ht="14.25" customHeight="1">
      <c r="A14" s="480" t="s">
        <v>194</v>
      </c>
      <c r="B14" s="495">
        <v>45.44</v>
      </c>
      <c r="C14" s="504">
        <v>47.09</v>
      </c>
      <c r="D14" s="357">
        <f t="shared" si="0"/>
        <v>45.44</v>
      </c>
      <c r="E14" s="57">
        <f t="shared" si="3"/>
        <v>64.102564102564145</v>
      </c>
      <c r="F14" s="132">
        <f t="shared" si="4"/>
        <v>6</v>
      </c>
      <c r="G14" s="52"/>
      <c r="H14" s="471"/>
      <c r="I14" s="26"/>
      <c r="J14" s="27"/>
      <c r="K14" s="18"/>
      <c r="L14" s="6"/>
    </row>
    <row r="15" spans="1:12" ht="18">
      <c r="A15" s="480" t="s">
        <v>195</v>
      </c>
      <c r="B15" s="495">
        <v>52.44</v>
      </c>
      <c r="C15" s="504">
        <v>52.47</v>
      </c>
      <c r="D15" s="357">
        <f t="shared" si="0"/>
        <v>52.44</v>
      </c>
      <c r="E15" s="57">
        <f>-$E$22*D15+$E$23</f>
        <v>0</v>
      </c>
      <c r="F15" s="132">
        <f t="shared" si="2"/>
        <v>13</v>
      </c>
      <c r="G15" s="52"/>
      <c r="H15" s="471"/>
      <c r="I15" s="26"/>
      <c r="J15" s="27"/>
      <c r="K15" s="18"/>
      <c r="L15" s="6"/>
    </row>
    <row r="16" spans="1:12" ht="18">
      <c r="A16" s="480" t="s">
        <v>196</v>
      </c>
      <c r="B16" s="495">
        <v>52.84</v>
      </c>
      <c r="C16" s="504">
        <v>47.56</v>
      </c>
      <c r="D16" s="357">
        <f t="shared" si="0"/>
        <v>47.56</v>
      </c>
      <c r="E16" s="57">
        <f t="shared" si="1"/>
        <v>44.688644688644672</v>
      </c>
      <c r="F16" s="132">
        <f t="shared" si="2"/>
        <v>9</v>
      </c>
      <c r="G16" s="52"/>
      <c r="H16" s="471"/>
      <c r="I16" s="26"/>
      <c r="J16" s="27"/>
      <c r="K16" s="18"/>
      <c r="L16" s="6"/>
    </row>
    <row r="17" spans="1:12" s="140" customFormat="1" ht="18.600000000000001" thickBot="1">
      <c r="A17" s="480" t="s">
        <v>197</v>
      </c>
      <c r="B17" s="501">
        <v>53.28</v>
      </c>
      <c r="C17" s="505">
        <v>48.47</v>
      </c>
      <c r="D17" s="357">
        <f t="shared" si="0"/>
        <v>48.47</v>
      </c>
      <c r="E17" s="57">
        <f t="shared" ref="E17" si="5">-$E$22*D17+$E$23</f>
        <v>36.355311355311358</v>
      </c>
      <c r="F17" s="132">
        <f t="shared" ref="F17" si="6">RANK(E17,$E$6:$E$18)</f>
        <v>10</v>
      </c>
      <c r="G17" s="145"/>
      <c r="H17" s="244"/>
      <c r="I17" s="152"/>
      <c r="J17" s="153"/>
      <c r="K17" s="141"/>
      <c r="L17" s="133"/>
    </row>
    <row r="18" spans="1:12" ht="18.600000000000001" thickBot="1">
      <c r="A18" s="480" t="s">
        <v>198</v>
      </c>
      <c r="B18" s="502">
        <v>46.62</v>
      </c>
      <c r="C18" s="506">
        <v>44.63</v>
      </c>
      <c r="D18" s="357">
        <f t="shared" si="0"/>
        <v>44.63</v>
      </c>
      <c r="E18" s="57">
        <f t="shared" si="1"/>
        <v>71.520146520146511</v>
      </c>
      <c r="F18" s="132">
        <f t="shared" si="2"/>
        <v>4</v>
      </c>
      <c r="G18" s="6"/>
      <c r="H18" s="244"/>
      <c r="I18" s="6"/>
      <c r="J18" s="6"/>
      <c r="K18" s="6"/>
      <c r="L18" s="6"/>
    </row>
    <row r="19" spans="1:12">
      <c r="B19" s="136"/>
    </row>
    <row r="21" spans="1:12">
      <c r="D21" s="309" t="s">
        <v>141</v>
      </c>
      <c r="E21" s="309"/>
    </row>
    <row r="22" spans="1:12">
      <c r="D22" s="309" t="s">
        <v>138</v>
      </c>
      <c r="E22" s="319">
        <f>75/(E2-E3)</f>
        <v>9.1575091575091605</v>
      </c>
    </row>
    <row r="23" spans="1:12">
      <c r="D23" s="309" t="s">
        <v>139</v>
      </c>
      <c r="E23" s="255">
        <f>E22*E2</f>
        <v>480.21978021978038</v>
      </c>
    </row>
  </sheetData>
  <phoneticPr fontId="23" type="noConversion"/>
  <printOptions gridLines="1"/>
  <pageMargins left="0.75" right="0.75" top="1" bottom="1" header="0.5" footer="0.5"/>
  <pageSetup scale="82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29"/>
  <sheetViews>
    <sheetView zoomScaleNormal="100" zoomScalePageLayoutView="12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6" sqref="P16"/>
    </sheetView>
  </sheetViews>
  <sheetFormatPr defaultColWidth="8.88671875" defaultRowHeight="13.2"/>
  <cols>
    <col min="1" max="1" width="40" customWidth="1"/>
    <col min="2" max="2" width="12.44140625" customWidth="1"/>
    <col min="3" max="3" width="12.6640625" style="3" customWidth="1"/>
    <col min="4" max="4" width="12.33203125" customWidth="1"/>
    <col min="5" max="5" width="14" customWidth="1"/>
    <col min="6" max="6" width="10.6640625" customWidth="1"/>
    <col min="7" max="7" width="9.88671875" customWidth="1"/>
    <col min="8" max="8" width="15.6640625" style="167" customWidth="1"/>
    <col min="9" max="9" width="13.44140625" customWidth="1"/>
    <col min="10" max="10" width="5.44140625" style="167" bestFit="1" customWidth="1"/>
    <col min="11" max="11" width="26.77734375" customWidth="1"/>
  </cols>
  <sheetData>
    <row r="1" spans="1:13" ht="17.399999999999999">
      <c r="A1" s="7" t="s">
        <v>211</v>
      </c>
      <c r="B1" s="7"/>
      <c r="C1" s="18"/>
      <c r="D1" s="6"/>
      <c r="E1" s="6"/>
      <c r="F1" s="6"/>
      <c r="G1" s="6"/>
      <c r="H1" s="245"/>
      <c r="I1" s="6"/>
      <c r="J1" s="245"/>
      <c r="K1" s="6"/>
    </row>
    <row r="2" spans="1:13">
      <c r="A2" s="24"/>
      <c r="B2" s="24"/>
      <c r="C2" s="52"/>
      <c r="D2" s="24"/>
      <c r="E2" s="24"/>
      <c r="F2" s="24"/>
      <c r="G2" s="24"/>
      <c r="H2" s="261"/>
      <c r="I2" s="24"/>
      <c r="J2" s="245"/>
      <c r="K2" s="6"/>
    </row>
    <row r="3" spans="1:13" s="157" customFormat="1" ht="39.6">
      <c r="A3" s="156"/>
      <c r="B3" s="39" t="s">
        <v>40</v>
      </c>
      <c r="C3" s="39" t="s">
        <v>7</v>
      </c>
      <c r="D3" s="39" t="s">
        <v>61</v>
      </c>
      <c r="E3" s="39" t="s">
        <v>53</v>
      </c>
      <c r="F3" s="39" t="s">
        <v>83</v>
      </c>
      <c r="G3" s="39" t="s">
        <v>8</v>
      </c>
      <c r="H3" s="225" t="s">
        <v>62</v>
      </c>
      <c r="I3" s="39" t="s">
        <v>63</v>
      </c>
      <c r="J3" s="36" t="s">
        <v>60</v>
      </c>
      <c r="K3" s="39" t="s">
        <v>49</v>
      </c>
    </row>
    <row r="4" spans="1:13" s="380" customFormat="1" ht="18">
      <c r="A4" s="480" t="s">
        <v>186</v>
      </c>
      <c r="B4" s="290"/>
      <c r="C4" s="492" t="s">
        <v>298</v>
      </c>
      <c r="D4" s="492" t="s">
        <v>298</v>
      </c>
      <c r="E4" s="290"/>
      <c r="F4" s="290"/>
      <c r="G4" s="290">
        <v>-25</v>
      </c>
      <c r="H4" s="290">
        <v>100</v>
      </c>
      <c r="I4" s="376"/>
      <c r="J4" s="377">
        <f t="shared" ref="J4:J16" si="0">SUM(B4:I4)</f>
        <v>75</v>
      </c>
      <c r="K4" s="378" t="s">
        <v>309</v>
      </c>
    </row>
    <row r="5" spans="1:13" s="380" customFormat="1" ht="18">
      <c r="A5" s="480" t="s">
        <v>187</v>
      </c>
      <c r="B5" s="290"/>
      <c r="C5" s="492" t="s">
        <v>298</v>
      </c>
      <c r="D5" s="492" t="s">
        <v>298</v>
      </c>
      <c r="E5" s="290"/>
      <c r="F5" s="290"/>
      <c r="G5" s="290"/>
      <c r="H5" s="290">
        <v>100</v>
      </c>
      <c r="I5" s="290"/>
      <c r="J5" s="377">
        <f t="shared" si="0"/>
        <v>100</v>
      </c>
      <c r="K5" s="378"/>
    </row>
    <row r="6" spans="1:13" s="380" customFormat="1" ht="18">
      <c r="A6" s="480" t="s">
        <v>188</v>
      </c>
      <c r="B6" s="290"/>
      <c r="C6" s="492" t="s">
        <v>298</v>
      </c>
      <c r="D6" s="492" t="s">
        <v>298</v>
      </c>
      <c r="E6" s="290"/>
      <c r="F6" s="290"/>
      <c r="G6" s="290"/>
      <c r="H6" s="290">
        <v>100</v>
      </c>
      <c r="I6" s="376"/>
      <c r="J6" s="377">
        <f t="shared" si="0"/>
        <v>100</v>
      </c>
      <c r="K6" s="378"/>
    </row>
    <row r="7" spans="1:13" s="379" customFormat="1" ht="18">
      <c r="A7" s="480" t="s">
        <v>189</v>
      </c>
      <c r="B7" s="290"/>
      <c r="C7" s="492" t="s">
        <v>298</v>
      </c>
      <c r="D7" s="492" t="s">
        <v>298</v>
      </c>
      <c r="E7" s="290"/>
      <c r="F7" s="290"/>
      <c r="G7" s="290"/>
      <c r="H7" s="290"/>
      <c r="I7" s="376"/>
      <c r="J7" s="377">
        <f t="shared" si="0"/>
        <v>0</v>
      </c>
      <c r="K7" s="383"/>
    </row>
    <row r="8" spans="1:13" s="379" customFormat="1" ht="18">
      <c r="A8" s="480" t="s">
        <v>190</v>
      </c>
      <c r="B8" s="290"/>
      <c r="C8" s="492" t="s">
        <v>298</v>
      </c>
      <c r="D8" s="492" t="s">
        <v>298</v>
      </c>
      <c r="E8" s="290"/>
      <c r="F8" s="290"/>
      <c r="G8" s="290"/>
      <c r="H8" s="290"/>
      <c r="I8" s="290"/>
      <c r="J8" s="377">
        <f t="shared" si="0"/>
        <v>0</v>
      </c>
      <c r="K8" s="378"/>
      <c r="M8" s="380"/>
    </row>
    <row r="9" spans="1:13" s="380" customFormat="1" ht="18">
      <c r="A9" s="480" t="s">
        <v>191</v>
      </c>
      <c r="B9" s="290"/>
      <c r="C9" s="492" t="s">
        <v>298</v>
      </c>
      <c r="D9" s="492" t="s">
        <v>298</v>
      </c>
      <c r="E9" s="290"/>
      <c r="F9" s="290"/>
      <c r="G9" s="290"/>
      <c r="H9" s="290">
        <v>100</v>
      </c>
      <c r="I9" s="290"/>
      <c r="J9" s="377">
        <f t="shared" si="0"/>
        <v>100</v>
      </c>
      <c r="K9" s="378"/>
    </row>
    <row r="10" spans="1:13" s="380" customFormat="1" ht="18">
      <c r="A10" s="480" t="s">
        <v>192</v>
      </c>
      <c r="B10" s="290"/>
      <c r="C10" s="290">
        <v>-10</v>
      </c>
      <c r="D10" s="492" t="s">
        <v>298</v>
      </c>
      <c r="E10" s="290"/>
      <c r="F10" s="290">
        <v>-40</v>
      </c>
      <c r="G10" s="290"/>
      <c r="H10" s="290"/>
      <c r="I10" s="290"/>
      <c r="J10" s="377">
        <f t="shared" si="0"/>
        <v>-50</v>
      </c>
      <c r="K10" s="378" t="s">
        <v>305</v>
      </c>
    </row>
    <row r="11" spans="1:13" s="380" customFormat="1" ht="18">
      <c r="A11" s="480" t="s">
        <v>193</v>
      </c>
      <c r="B11" s="290"/>
      <c r="C11" s="492" t="s">
        <v>298</v>
      </c>
      <c r="D11" s="492" t="s">
        <v>298</v>
      </c>
      <c r="E11" s="290"/>
      <c r="F11" s="290"/>
      <c r="G11" s="290"/>
      <c r="H11" s="290">
        <v>100</v>
      </c>
      <c r="I11" s="376"/>
      <c r="J11" s="377">
        <f t="shared" si="0"/>
        <v>100</v>
      </c>
      <c r="K11" s="378"/>
    </row>
    <row r="12" spans="1:13" s="380" customFormat="1" ht="18">
      <c r="A12" s="480" t="s">
        <v>194</v>
      </c>
      <c r="B12" s="290"/>
      <c r="C12" s="492" t="s">
        <v>298</v>
      </c>
      <c r="D12" s="492" t="s">
        <v>298</v>
      </c>
      <c r="E12" s="290"/>
      <c r="F12" s="290"/>
      <c r="G12" s="290"/>
      <c r="H12" s="290"/>
      <c r="I12" s="376"/>
      <c r="J12" s="377">
        <f t="shared" si="0"/>
        <v>0</v>
      </c>
      <c r="K12" s="378"/>
    </row>
    <row r="13" spans="1:13" s="380" customFormat="1" ht="18">
      <c r="A13" s="480" t="s">
        <v>195</v>
      </c>
      <c r="B13" s="290"/>
      <c r="C13" s="492" t="s">
        <v>298</v>
      </c>
      <c r="D13" s="492" t="s">
        <v>298</v>
      </c>
      <c r="E13" s="290"/>
      <c r="F13" s="290"/>
      <c r="G13" s="290"/>
      <c r="H13" s="290">
        <v>100</v>
      </c>
      <c r="I13" s="376"/>
      <c r="J13" s="377">
        <f t="shared" si="0"/>
        <v>100</v>
      </c>
      <c r="K13" s="378"/>
    </row>
    <row r="14" spans="1:13" s="380" customFormat="1" ht="18">
      <c r="A14" s="480" t="s">
        <v>196</v>
      </c>
      <c r="B14" s="290"/>
      <c r="C14" s="290">
        <v>-50</v>
      </c>
      <c r="D14" s="492" t="s">
        <v>298</v>
      </c>
      <c r="E14" s="290"/>
      <c r="F14" s="290"/>
      <c r="G14" s="290"/>
      <c r="H14" s="290"/>
      <c r="I14" s="376"/>
      <c r="J14" s="377">
        <f t="shared" si="0"/>
        <v>-50</v>
      </c>
      <c r="K14" s="418"/>
    </row>
    <row r="15" spans="1:13" s="381" customFormat="1" ht="18">
      <c r="A15" s="480" t="s">
        <v>197</v>
      </c>
      <c r="B15" s="290"/>
      <c r="C15" s="290">
        <v>-10</v>
      </c>
      <c r="D15" s="290">
        <v>-10</v>
      </c>
      <c r="E15" s="290"/>
      <c r="F15" s="290">
        <v>-30</v>
      </c>
      <c r="G15" s="290"/>
      <c r="H15" s="290">
        <v>100</v>
      </c>
      <c r="I15" s="290"/>
      <c r="J15" s="377">
        <f t="shared" si="0"/>
        <v>50</v>
      </c>
      <c r="K15" s="378" t="s">
        <v>310</v>
      </c>
    </row>
    <row r="16" spans="1:13" s="380" customFormat="1" ht="18">
      <c r="A16" s="480" t="s">
        <v>198</v>
      </c>
      <c r="B16" s="290"/>
      <c r="C16" s="493" t="s">
        <v>298</v>
      </c>
      <c r="D16" s="492" t="s">
        <v>298</v>
      </c>
      <c r="E16" s="290"/>
      <c r="F16" s="290"/>
      <c r="G16" s="290"/>
      <c r="H16" s="290"/>
      <c r="I16" s="376"/>
      <c r="J16" s="377">
        <f t="shared" si="0"/>
        <v>0</v>
      </c>
      <c r="K16" s="382"/>
    </row>
    <row r="17" spans="1:11" ht="15">
      <c r="A17" s="22"/>
      <c r="B17" s="22"/>
      <c r="C17" s="285"/>
      <c r="D17" s="49"/>
      <c r="E17" s="49"/>
      <c r="F17" s="40"/>
      <c r="G17" s="52"/>
      <c r="H17" s="259"/>
      <c r="I17" s="29"/>
      <c r="J17" s="245"/>
      <c r="K17" s="6"/>
    </row>
    <row r="18" spans="1:11" ht="15">
      <c r="A18" s="22"/>
      <c r="B18" s="22"/>
      <c r="C18" s="285"/>
      <c r="D18" s="49"/>
      <c r="E18" s="49"/>
      <c r="F18" s="40"/>
      <c r="G18" s="244"/>
      <c r="H18" s="259"/>
      <c r="I18" s="29"/>
      <c r="J18" s="245"/>
      <c r="K18" s="6"/>
    </row>
    <row r="19" spans="1:11" ht="15">
      <c r="A19" s="22"/>
      <c r="B19" s="22"/>
      <c r="C19" s="285"/>
      <c r="D19" s="49"/>
      <c r="E19" s="49"/>
      <c r="F19" s="40"/>
      <c r="G19" s="52"/>
      <c r="H19" s="259"/>
      <c r="I19" s="29"/>
      <c r="J19" s="245"/>
      <c r="K19" s="6"/>
    </row>
    <row r="20" spans="1:11" ht="15">
      <c r="A20" s="22"/>
      <c r="B20" s="22"/>
      <c r="C20" s="285"/>
      <c r="D20" s="49"/>
      <c r="E20" s="49"/>
      <c r="F20" s="40"/>
      <c r="G20" s="52"/>
      <c r="H20" s="259"/>
      <c r="I20" s="29"/>
      <c r="J20" s="245"/>
      <c r="K20" s="6"/>
    </row>
    <row r="21" spans="1:11" ht="15">
      <c r="A21" s="22"/>
      <c r="B21" s="22"/>
      <c r="C21" s="285"/>
      <c r="D21" s="49"/>
      <c r="E21" s="49"/>
      <c r="F21" s="40"/>
      <c r="G21" s="52"/>
      <c r="H21" s="259"/>
      <c r="I21" s="29"/>
      <c r="J21" s="245"/>
      <c r="K21" s="6"/>
    </row>
    <row r="22" spans="1:11" ht="15">
      <c r="A22" s="22"/>
      <c r="B22" s="22"/>
      <c r="C22" s="285"/>
      <c r="D22" s="49"/>
      <c r="E22" s="49"/>
      <c r="F22" s="40"/>
      <c r="G22" s="52"/>
      <c r="H22" s="259"/>
      <c r="I22" s="29"/>
      <c r="J22" s="245"/>
      <c r="K22" s="6"/>
    </row>
    <row r="23" spans="1:11" ht="15">
      <c r="A23" s="22"/>
      <c r="B23" s="22"/>
      <c r="C23" s="285"/>
      <c r="D23" s="49"/>
      <c r="E23" s="49"/>
      <c r="F23" s="40"/>
      <c r="G23" s="52"/>
      <c r="H23" s="259"/>
      <c r="I23" s="29"/>
      <c r="J23" s="245"/>
      <c r="K23" s="6"/>
    </row>
    <row r="24" spans="1:11">
      <c r="A24" s="22"/>
      <c r="B24" s="22"/>
      <c r="C24" s="285"/>
      <c r="D24" s="49"/>
      <c r="E24" s="49"/>
      <c r="F24" s="40"/>
      <c r="G24" s="52"/>
      <c r="H24" s="259"/>
      <c r="I24" s="24"/>
      <c r="J24" s="245"/>
      <c r="K24" s="6"/>
    </row>
    <row r="25" spans="1:11" ht="15">
      <c r="A25" s="22"/>
      <c r="B25" s="22"/>
      <c r="C25" s="285"/>
      <c r="D25" s="49"/>
      <c r="E25" s="49"/>
      <c r="F25" s="40"/>
      <c r="G25" s="52"/>
      <c r="H25" s="259"/>
      <c r="I25" s="29"/>
      <c r="J25" s="245"/>
      <c r="K25" s="6"/>
    </row>
    <row r="26" spans="1:11">
      <c r="A26" s="22"/>
      <c r="B26" s="22"/>
      <c r="C26" s="286"/>
      <c r="D26" s="50"/>
      <c r="E26" s="50"/>
      <c r="F26" s="40"/>
      <c r="G26" s="52"/>
      <c r="H26" s="259"/>
      <c r="I26" s="1"/>
    </row>
    <row r="27" spans="1:11">
      <c r="A27" s="1"/>
      <c r="B27" s="1"/>
      <c r="C27" s="60"/>
      <c r="D27" s="1"/>
      <c r="E27" s="1"/>
      <c r="F27" s="24"/>
      <c r="G27" s="1"/>
      <c r="H27" s="262"/>
      <c r="I27" s="1"/>
    </row>
    <row r="28" spans="1:11">
      <c r="A28" s="1"/>
      <c r="B28" s="1"/>
      <c r="C28" s="60"/>
      <c r="D28" s="1"/>
      <c r="E28" s="1"/>
      <c r="F28" s="1"/>
      <c r="G28" s="1"/>
      <c r="H28" s="262"/>
      <c r="I28" s="1"/>
    </row>
    <row r="29" spans="1:11">
      <c r="A29" s="1"/>
      <c r="B29" s="1"/>
      <c r="C29" s="60"/>
      <c r="D29" s="1"/>
      <c r="E29" s="1"/>
      <c r="F29" s="1"/>
      <c r="G29" s="1"/>
      <c r="H29" s="262"/>
      <c r="I29" s="1"/>
    </row>
  </sheetData>
  <phoneticPr fontId="23" type="noConversion"/>
  <printOptions gridLines="1"/>
  <pageMargins left="0.75" right="0.75" top="1" bottom="1" header="0.5" footer="0.5"/>
  <pageSetup scale="62" orientation="landscape" horizontalDpi="4294967294" verticalDpi="20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H8" sqref="H8"/>
    </sheetView>
  </sheetViews>
  <sheetFormatPr defaultColWidth="8.88671875" defaultRowHeight="13.2"/>
  <cols>
    <col min="1" max="1" width="41.44140625" customWidth="1"/>
    <col min="2" max="5" width="10.33203125" customWidth="1"/>
    <col min="7" max="7" width="10.44140625" customWidth="1"/>
    <col min="9" max="9" width="10.109375" customWidth="1"/>
  </cols>
  <sheetData>
    <row r="1" spans="1:21" ht="17.399999999999999">
      <c r="A1" s="45" t="s">
        <v>212</v>
      </c>
      <c r="B1" s="31"/>
      <c r="C1" s="31"/>
      <c r="D1" s="31"/>
      <c r="E1" s="31" t="s">
        <v>58</v>
      </c>
      <c r="F1" s="32">
        <f>MAX(E4:E16)</f>
        <v>670</v>
      </c>
      <c r="G1" s="31" t="s">
        <v>59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>
      <c r="A2" s="205" t="s">
        <v>121</v>
      </c>
      <c r="B2" s="31"/>
      <c r="C2" s="31"/>
      <c r="D2" s="31"/>
      <c r="E2" s="31" t="s">
        <v>57</v>
      </c>
      <c r="F2" s="32">
        <f>MIN(E4:E115)</f>
        <v>553</v>
      </c>
      <c r="G2" s="31" t="s">
        <v>59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>
      <c r="B3" s="128" t="s">
        <v>54</v>
      </c>
      <c r="C3" s="128" t="s">
        <v>55</v>
      </c>
      <c r="D3" s="128" t="s">
        <v>56</v>
      </c>
      <c r="E3" s="44" t="s">
        <v>24</v>
      </c>
      <c r="G3" s="39"/>
      <c r="H3" s="2" t="s">
        <v>27</v>
      </c>
    </row>
    <row r="4" spans="1:21" ht="18">
      <c r="A4" s="480" t="s">
        <v>186</v>
      </c>
      <c r="B4" s="419">
        <v>150</v>
      </c>
      <c r="C4" s="420">
        <v>155</v>
      </c>
      <c r="D4" s="420">
        <v>257</v>
      </c>
      <c r="E4" s="228">
        <f>+B4+C4+D4</f>
        <v>562</v>
      </c>
      <c r="F4" s="143"/>
      <c r="G4" s="17"/>
      <c r="H4" s="17">
        <f t="shared" ref="H4:H16" si="0">RANK($E4,$E$4:$E$16)</f>
        <v>12</v>
      </c>
    </row>
    <row r="5" spans="1:21" ht="18">
      <c r="A5" s="480" t="s">
        <v>187</v>
      </c>
      <c r="B5" s="421">
        <v>163</v>
      </c>
      <c r="C5" s="422">
        <v>162</v>
      </c>
      <c r="D5" s="422">
        <v>276</v>
      </c>
      <c r="E5" s="228">
        <f t="shared" ref="E5:E16" si="1">+B5+C5+D5</f>
        <v>601</v>
      </c>
      <c r="F5" s="143"/>
      <c r="G5" s="17"/>
      <c r="H5" s="17">
        <f t="shared" si="0"/>
        <v>8</v>
      </c>
      <c r="I5" s="405"/>
    </row>
    <row r="6" spans="1:21" ht="18">
      <c r="A6" s="480" t="s">
        <v>188</v>
      </c>
      <c r="B6" s="421">
        <v>138</v>
      </c>
      <c r="C6" s="422">
        <v>149</v>
      </c>
      <c r="D6" s="422">
        <v>266</v>
      </c>
      <c r="E6" s="228">
        <f t="shared" si="1"/>
        <v>553</v>
      </c>
      <c r="F6" s="143"/>
      <c r="G6" s="17"/>
      <c r="H6" s="17">
        <f t="shared" si="0"/>
        <v>13</v>
      </c>
    </row>
    <row r="7" spans="1:21" s="229" customFormat="1" ht="18">
      <c r="A7" s="480" t="s">
        <v>189</v>
      </c>
      <c r="B7" s="421">
        <v>160</v>
      </c>
      <c r="C7" s="422">
        <v>178</v>
      </c>
      <c r="D7" s="422">
        <v>255</v>
      </c>
      <c r="E7" s="228">
        <f t="shared" si="1"/>
        <v>593</v>
      </c>
      <c r="F7" s="205"/>
      <c r="G7" s="224"/>
      <c r="H7" s="17">
        <f t="shared" si="0"/>
        <v>10</v>
      </c>
      <c r="I7" s="405"/>
    </row>
    <row r="8" spans="1:21" s="229" customFormat="1" ht="18">
      <c r="A8" s="480" t="s">
        <v>190</v>
      </c>
      <c r="B8" s="421">
        <v>166</v>
      </c>
      <c r="C8" s="422">
        <v>182</v>
      </c>
      <c r="D8" s="422">
        <v>322</v>
      </c>
      <c r="E8" s="228">
        <f t="shared" si="1"/>
        <v>670</v>
      </c>
      <c r="F8" s="205"/>
      <c r="G8" s="224"/>
      <c r="H8" s="17">
        <f t="shared" si="0"/>
        <v>1</v>
      </c>
    </row>
    <row r="9" spans="1:21" s="31" customFormat="1" ht="18">
      <c r="A9" s="480" t="s">
        <v>191</v>
      </c>
      <c r="B9" s="421">
        <v>172</v>
      </c>
      <c r="C9" s="422">
        <v>190</v>
      </c>
      <c r="D9" s="422">
        <v>296</v>
      </c>
      <c r="E9" s="228">
        <f t="shared" si="1"/>
        <v>658</v>
      </c>
      <c r="F9" s="187" t="s">
        <v>45</v>
      </c>
      <c r="G9" s="17"/>
      <c r="H9" s="17">
        <f t="shared" si="0"/>
        <v>3</v>
      </c>
    </row>
    <row r="10" spans="1:21" ht="18">
      <c r="A10" s="480" t="s">
        <v>192</v>
      </c>
      <c r="B10" s="421">
        <v>149</v>
      </c>
      <c r="C10" s="422">
        <v>174</v>
      </c>
      <c r="D10" s="422">
        <v>304</v>
      </c>
      <c r="E10" s="228">
        <f t="shared" si="1"/>
        <v>627</v>
      </c>
      <c r="F10" s="143"/>
      <c r="G10" s="17"/>
      <c r="H10" s="17">
        <f t="shared" si="0"/>
        <v>5</v>
      </c>
    </row>
    <row r="11" spans="1:21" ht="18">
      <c r="A11" s="480" t="s">
        <v>193</v>
      </c>
      <c r="B11" s="421">
        <v>152</v>
      </c>
      <c r="C11" s="422">
        <v>163</v>
      </c>
      <c r="D11" s="422">
        <v>323</v>
      </c>
      <c r="E11" s="228">
        <f t="shared" si="1"/>
        <v>638</v>
      </c>
      <c r="F11" s="143"/>
      <c r="G11" s="17"/>
      <c r="H11" s="17">
        <f t="shared" si="0"/>
        <v>4</v>
      </c>
    </row>
    <row r="12" spans="1:21" ht="18">
      <c r="A12" s="480" t="s">
        <v>194</v>
      </c>
      <c r="B12" s="421">
        <v>169</v>
      </c>
      <c r="C12" s="422">
        <v>157</v>
      </c>
      <c r="D12" s="422">
        <v>292</v>
      </c>
      <c r="E12" s="228">
        <f t="shared" si="1"/>
        <v>618</v>
      </c>
      <c r="F12" s="137"/>
      <c r="G12" s="17"/>
      <c r="H12" s="17">
        <f t="shared" si="0"/>
        <v>7</v>
      </c>
    </row>
    <row r="13" spans="1:21" ht="18">
      <c r="A13" s="480" t="s">
        <v>195</v>
      </c>
      <c r="B13" s="421">
        <v>157</v>
      </c>
      <c r="C13" s="422">
        <v>161</v>
      </c>
      <c r="D13" s="422">
        <v>308</v>
      </c>
      <c r="E13" s="228">
        <f t="shared" si="1"/>
        <v>626</v>
      </c>
      <c r="F13" s="143" t="s">
        <v>45</v>
      </c>
      <c r="G13" s="17"/>
      <c r="H13" s="17">
        <f t="shared" si="0"/>
        <v>6</v>
      </c>
    </row>
    <row r="14" spans="1:21" ht="18">
      <c r="A14" s="480" t="s">
        <v>196</v>
      </c>
      <c r="B14" s="421">
        <v>172</v>
      </c>
      <c r="C14" s="422">
        <v>187</v>
      </c>
      <c r="D14" s="422">
        <v>303</v>
      </c>
      <c r="E14" s="228">
        <f t="shared" si="1"/>
        <v>662</v>
      </c>
      <c r="F14" s="143"/>
      <c r="G14" s="17"/>
      <c r="H14" s="17">
        <f t="shared" si="0"/>
        <v>2</v>
      </c>
    </row>
    <row r="15" spans="1:21" ht="18">
      <c r="A15" s="480" t="s">
        <v>197</v>
      </c>
      <c r="B15" s="421">
        <v>134</v>
      </c>
      <c r="C15" s="422">
        <v>146</v>
      </c>
      <c r="D15" s="422">
        <v>293</v>
      </c>
      <c r="E15" s="228">
        <f t="shared" si="1"/>
        <v>573</v>
      </c>
      <c r="F15" s="143"/>
      <c r="G15" s="17"/>
      <c r="H15" s="17">
        <f t="shared" si="0"/>
        <v>11</v>
      </c>
    </row>
    <row r="16" spans="1:21" ht="18">
      <c r="A16" s="480" t="s">
        <v>198</v>
      </c>
      <c r="B16" s="421">
        <v>150</v>
      </c>
      <c r="C16" s="422">
        <v>154</v>
      </c>
      <c r="D16" s="422">
        <v>291</v>
      </c>
      <c r="E16" s="228">
        <f t="shared" si="1"/>
        <v>595</v>
      </c>
      <c r="F16" s="143"/>
      <c r="G16" s="17"/>
      <c r="H16" s="17">
        <f t="shared" si="0"/>
        <v>9</v>
      </c>
    </row>
    <row r="17" spans="5:5">
      <c r="E17" s="61"/>
    </row>
    <row r="18" spans="5:5">
      <c r="E18" s="61"/>
    </row>
    <row r="19" spans="5:5">
      <c r="E19" s="61"/>
    </row>
    <row r="20" spans="5:5">
      <c r="E20" s="61"/>
    </row>
    <row r="21" spans="5:5">
      <c r="E21" s="61"/>
    </row>
    <row r="22" spans="5:5">
      <c r="E22" s="61"/>
    </row>
    <row r="23" spans="5:5">
      <c r="E23" s="61"/>
    </row>
    <row r="24" spans="5:5">
      <c r="E24" s="61"/>
    </row>
    <row r="25" spans="5:5">
      <c r="E25" s="61"/>
    </row>
    <row r="26" spans="5:5">
      <c r="E26" s="61"/>
    </row>
    <row r="27" spans="5:5">
      <c r="E27" s="61"/>
    </row>
  </sheetData>
  <phoneticPr fontId="23" type="noConversion"/>
  <printOptions gridLines="1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71"/>
  <sheetViews>
    <sheetView zoomScale="85" zoomScaleNormal="85" zoomScalePageLayoutView="85" workbookViewId="0">
      <pane ySplit="2" topLeftCell="A30" activePane="bottomLeft" state="frozen"/>
      <selection pane="bottomLeft" activeCell="Q67" sqref="Q67"/>
    </sheetView>
  </sheetViews>
  <sheetFormatPr defaultColWidth="9.109375" defaultRowHeight="13.2"/>
  <cols>
    <col min="1" max="1" width="14.5546875" style="163" customWidth="1"/>
    <col min="2" max="2" width="18.6640625" style="65" customWidth="1"/>
    <col min="3" max="3" width="12.33203125" style="163" customWidth="1"/>
    <col min="4" max="4" width="10.6640625" style="163" customWidth="1"/>
    <col min="5" max="5" width="12.5546875" style="163" customWidth="1"/>
    <col min="6" max="6" width="14.33203125" style="258" customWidth="1"/>
    <col min="7" max="7" width="14.88671875" style="164" customWidth="1"/>
    <col min="8" max="8" width="12.6640625" style="227" customWidth="1"/>
    <col min="9" max="9" width="12.77734375" style="163" customWidth="1"/>
    <col min="10" max="10" width="12.88671875" style="163" customWidth="1"/>
    <col min="11" max="11" width="12.21875" style="188" customWidth="1"/>
    <col min="12" max="12" width="10.6640625" style="163" customWidth="1"/>
    <col min="13" max="14" width="13.88671875" style="181" customWidth="1"/>
    <col min="15" max="15" width="10.6640625" style="181" customWidth="1"/>
    <col min="16" max="16" width="7.44140625" style="180" customWidth="1"/>
    <col min="17" max="17" width="3" style="180" customWidth="1"/>
    <col min="18" max="18" width="2.6640625" style="65" customWidth="1"/>
    <col min="19" max="16384" width="9.109375" style="65"/>
  </cols>
  <sheetData>
    <row r="1" spans="1:19" s="473" customFormat="1" ht="17.399999999999999">
      <c r="A1" s="327" t="s">
        <v>200</v>
      </c>
      <c r="F1" s="474"/>
      <c r="G1" s="475"/>
      <c r="H1" s="476"/>
      <c r="K1" s="477"/>
      <c r="M1" s="478"/>
      <c r="N1" s="478"/>
      <c r="O1" s="478"/>
    </row>
    <row r="2" spans="1:19" ht="72">
      <c r="A2" s="485" t="s">
        <v>182</v>
      </c>
      <c r="B2" s="485"/>
      <c r="C2" s="486" t="s">
        <v>186</v>
      </c>
      <c r="D2" s="486" t="s">
        <v>187</v>
      </c>
      <c r="E2" s="486" t="s">
        <v>188</v>
      </c>
      <c r="F2" s="486" t="s">
        <v>189</v>
      </c>
      <c r="G2" s="486" t="s">
        <v>190</v>
      </c>
      <c r="H2" s="486" t="s">
        <v>191</v>
      </c>
      <c r="I2" s="486" t="s">
        <v>192</v>
      </c>
      <c r="J2" s="486" t="s">
        <v>193</v>
      </c>
      <c r="K2" s="486" t="s">
        <v>194</v>
      </c>
      <c r="L2" s="486" t="s">
        <v>195</v>
      </c>
      <c r="M2" s="486" t="s">
        <v>196</v>
      </c>
      <c r="N2" s="486" t="s">
        <v>197</v>
      </c>
      <c r="O2" s="486" t="s">
        <v>198</v>
      </c>
      <c r="P2" s="241"/>
      <c r="Q2" s="241"/>
      <c r="R2" s="167"/>
      <c r="S2" s="167"/>
    </row>
    <row r="3" spans="1:19" s="340" customFormat="1">
      <c r="A3" s="472">
        <v>1</v>
      </c>
      <c r="B3" s="482" t="s">
        <v>216</v>
      </c>
      <c r="C3" s="483"/>
      <c r="D3" s="483"/>
      <c r="E3" s="483"/>
      <c r="F3" s="483"/>
      <c r="G3" s="483">
        <v>79</v>
      </c>
      <c r="H3" s="483">
        <v>83</v>
      </c>
      <c r="I3" s="483">
        <v>84</v>
      </c>
      <c r="J3" s="483">
        <v>86</v>
      </c>
      <c r="K3" s="483"/>
      <c r="L3" s="483"/>
      <c r="M3" s="484"/>
      <c r="N3" s="483"/>
      <c r="O3" s="483"/>
      <c r="P3" s="339">
        <f t="shared" ref="P3:P34" si="0">COUNTA(C3:O3)</f>
        <v>4</v>
      </c>
      <c r="Q3" s="339"/>
    </row>
    <row r="4" spans="1:19">
      <c r="A4" s="472">
        <f>A3+1</f>
        <v>2</v>
      </c>
      <c r="B4" s="342" t="s">
        <v>217</v>
      </c>
      <c r="C4" s="342"/>
      <c r="D4" s="342"/>
      <c r="E4" s="342"/>
      <c r="F4" s="342"/>
      <c r="G4" s="342"/>
      <c r="H4" s="342">
        <v>99</v>
      </c>
      <c r="I4" s="342">
        <v>63</v>
      </c>
      <c r="J4" s="342">
        <v>81</v>
      </c>
      <c r="K4" s="342">
        <v>57</v>
      </c>
      <c r="L4" s="342">
        <v>59</v>
      </c>
      <c r="M4" s="389"/>
      <c r="N4" s="342"/>
      <c r="O4" s="342"/>
      <c r="P4" s="339">
        <f t="shared" si="0"/>
        <v>5</v>
      </c>
      <c r="Q4" s="241"/>
      <c r="R4" s="167"/>
      <c r="S4" s="167"/>
    </row>
    <row r="5" spans="1:19">
      <c r="A5" s="472">
        <f t="shared" ref="A5:A62" si="1">A4+1</f>
        <v>3</v>
      </c>
      <c r="B5" s="342" t="s">
        <v>218</v>
      </c>
      <c r="C5" s="342">
        <v>61</v>
      </c>
      <c r="D5" s="342">
        <v>61</v>
      </c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39">
        <f t="shared" si="0"/>
        <v>2</v>
      </c>
    </row>
    <row r="6" spans="1:19">
      <c r="A6" s="472">
        <f t="shared" si="1"/>
        <v>4</v>
      </c>
      <c r="B6" s="342" t="s">
        <v>219</v>
      </c>
      <c r="C6" s="342"/>
      <c r="D6" s="342"/>
      <c r="E6" s="342"/>
      <c r="F6" s="342"/>
      <c r="G6" s="342"/>
      <c r="H6" s="342">
        <v>76</v>
      </c>
      <c r="I6" s="342">
        <v>77</v>
      </c>
      <c r="J6" s="342">
        <v>94</v>
      </c>
      <c r="K6" s="342">
        <v>56</v>
      </c>
      <c r="L6" s="342">
        <v>56</v>
      </c>
      <c r="M6" s="342"/>
      <c r="N6" s="342"/>
      <c r="O6" s="342"/>
      <c r="P6" s="339">
        <f t="shared" si="0"/>
        <v>5</v>
      </c>
      <c r="Q6" s="310"/>
      <c r="R6" s="309"/>
      <c r="S6" s="309"/>
    </row>
    <row r="7" spans="1:19">
      <c r="A7" s="472">
        <f t="shared" si="1"/>
        <v>5</v>
      </c>
      <c r="B7" s="342" t="s">
        <v>220</v>
      </c>
      <c r="C7" s="342"/>
      <c r="D7" s="342"/>
      <c r="E7" s="342">
        <v>80</v>
      </c>
      <c r="F7" s="342">
        <v>65</v>
      </c>
      <c r="G7" s="342">
        <v>70</v>
      </c>
      <c r="H7" s="342">
        <v>81</v>
      </c>
      <c r="I7" s="342"/>
      <c r="J7" s="342"/>
      <c r="K7" s="342"/>
      <c r="L7" s="342"/>
      <c r="M7" s="342"/>
      <c r="N7" s="342"/>
      <c r="O7" s="342"/>
      <c r="P7" s="339">
        <f t="shared" si="0"/>
        <v>4</v>
      </c>
      <c r="Q7" s="241"/>
      <c r="R7" s="167"/>
      <c r="S7" s="205"/>
    </row>
    <row r="8" spans="1:19" s="167" customFormat="1">
      <c r="A8" s="472">
        <f t="shared" si="1"/>
        <v>6</v>
      </c>
      <c r="B8" s="342" t="s">
        <v>221</v>
      </c>
      <c r="C8" s="342"/>
      <c r="D8" s="342"/>
      <c r="E8" s="342"/>
      <c r="F8" s="342"/>
      <c r="G8" s="342"/>
      <c r="H8" s="342"/>
      <c r="I8" s="342"/>
      <c r="J8" s="342"/>
      <c r="K8" s="342"/>
      <c r="L8" s="342">
        <v>55</v>
      </c>
      <c r="M8" s="342">
        <v>68</v>
      </c>
      <c r="N8" s="342">
        <v>10</v>
      </c>
      <c r="O8" s="342">
        <v>12</v>
      </c>
      <c r="P8" s="339">
        <f t="shared" si="0"/>
        <v>4</v>
      </c>
      <c r="Q8" s="241"/>
    </row>
    <row r="9" spans="1:19">
      <c r="A9" s="472">
        <f t="shared" si="1"/>
        <v>7</v>
      </c>
      <c r="B9" s="342" t="s">
        <v>222</v>
      </c>
      <c r="C9" s="342"/>
      <c r="D9" s="342"/>
      <c r="E9" s="342"/>
      <c r="F9" s="342"/>
      <c r="G9" s="342"/>
      <c r="H9" s="342"/>
      <c r="I9" s="342"/>
      <c r="J9" s="342"/>
      <c r="K9" s="342"/>
      <c r="L9" s="342">
        <v>61</v>
      </c>
      <c r="M9" s="342">
        <v>88</v>
      </c>
      <c r="N9" s="342">
        <v>22</v>
      </c>
      <c r="O9" s="342">
        <v>41</v>
      </c>
      <c r="P9" s="339">
        <f t="shared" si="0"/>
        <v>4</v>
      </c>
      <c r="Q9" s="241"/>
      <c r="R9" s="167"/>
      <c r="S9" s="167"/>
    </row>
    <row r="10" spans="1:19">
      <c r="A10" s="472">
        <f t="shared" si="1"/>
        <v>8</v>
      </c>
      <c r="B10" s="342" t="s">
        <v>223</v>
      </c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>
        <v>29</v>
      </c>
      <c r="O10" s="342">
        <v>44</v>
      </c>
      <c r="P10" s="339">
        <f t="shared" si="0"/>
        <v>2</v>
      </c>
      <c r="Q10" s="241"/>
      <c r="R10" s="309"/>
      <c r="S10" s="309"/>
    </row>
    <row r="11" spans="1:19">
      <c r="A11" s="472">
        <f t="shared" si="1"/>
        <v>9</v>
      </c>
      <c r="B11" s="342" t="s">
        <v>224</v>
      </c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>
        <v>90</v>
      </c>
      <c r="N11" s="342">
        <v>55</v>
      </c>
      <c r="O11" s="342">
        <v>85</v>
      </c>
      <c r="P11" s="339">
        <f t="shared" si="0"/>
        <v>3</v>
      </c>
      <c r="Q11" s="241"/>
      <c r="R11" s="167"/>
      <c r="S11" s="167"/>
    </row>
    <row r="12" spans="1:19">
      <c r="A12" s="472">
        <f t="shared" si="1"/>
        <v>10</v>
      </c>
      <c r="B12" s="342" t="s">
        <v>230</v>
      </c>
      <c r="C12" s="342"/>
      <c r="D12" s="342"/>
      <c r="E12" s="342"/>
      <c r="F12" s="342"/>
      <c r="G12" s="342"/>
      <c r="H12" s="342">
        <v>95</v>
      </c>
      <c r="I12" s="342">
        <v>95</v>
      </c>
      <c r="J12" s="342">
        <v>96</v>
      </c>
      <c r="K12" s="342">
        <v>89</v>
      </c>
      <c r="L12" s="342"/>
      <c r="M12" s="342"/>
      <c r="N12" s="342"/>
      <c r="O12" s="342"/>
      <c r="P12" s="339">
        <f t="shared" si="0"/>
        <v>4</v>
      </c>
      <c r="Q12" s="241"/>
      <c r="R12" s="309"/>
      <c r="S12" s="309"/>
    </row>
    <row r="13" spans="1:19">
      <c r="A13" s="472">
        <f t="shared" si="1"/>
        <v>11</v>
      </c>
      <c r="B13" s="343" t="s">
        <v>225</v>
      </c>
      <c r="C13" s="342">
        <v>46</v>
      </c>
      <c r="D13" s="342">
        <v>87</v>
      </c>
      <c r="E13" s="342">
        <v>77</v>
      </c>
      <c r="F13" s="342">
        <v>60</v>
      </c>
      <c r="G13" s="342">
        <v>44</v>
      </c>
      <c r="H13" s="342">
        <v>82</v>
      </c>
      <c r="I13" s="342">
        <v>78</v>
      </c>
      <c r="J13" s="342">
        <v>79</v>
      </c>
      <c r="K13" s="342">
        <v>53</v>
      </c>
      <c r="L13" s="342">
        <v>67</v>
      </c>
      <c r="M13" s="342">
        <v>83</v>
      </c>
      <c r="N13" s="342">
        <v>33</v>
      </c>
      <c r="O13" s="342">
        <v>46</v>
      </c>
      <c r="P13" s="339">
        <f t="shared" si="0"/>
        <v>13</v>
      </c>
      <c r="Q13" s="241"/>
      <c r="R13" s="309"/>
      <c r="S13" s="309"/>
    </row>
    <row r="14" spans="1:19">
      <c r="A14" s="472">
        <f t="shared" si="1"/>
        <v>12</v>
      </c>
      <c r="B14" s="343" t="s">
        <v>226</v>
      </c>
      <c r="C14" s="342">
        <v>75</v>
      </c>
      <c r="D14" s="342">
        <v>73</v>
      </c>
      <c r="E14" s="342">
        <v>89</v>
      </c>
      <c r="F14" s="342">
        <v>69</v>
      </c>
      <c r="G14" s="342">
        <v>51</v>
      </c>
      <c r="H14" s="342">
        <v>67</v>
      </c>
      <c r="I14" s="342">
        <v>57</v>
      </c>
      <c r="J14" s="342">
        <v>53</v>
      </c>
      <c r="K14" s="342"/>
      <c r="L14" s="342"/>
      <c r="M14" s="342"/>
      <c r="N14" s="342"/>
      <c r="O14" s="342"/>
      <c r="P14" s="339">
        <f t="shared" si="0"/>
        <v>8</v>
      </c>
      <c r="Q14" s="241"/>
      <c r="R14" s="167"/>
      <c r="S14" s="167"/>
    </row>
    <row r="15" spans="1:19">
      <c r="A15" s="472">
        <f t="shared" si="1"/>
        <v>13</v>
      </c>
      <c r="B15" s="343" t="s">
        <v>227</v>
      </c>
      <c r="C15" s="342">
        <v>83</v>
      </c>
      <c r="D15" s="342"/>
      <c r="E15" s="342"/>
      <c r="F15" s="342"/>
      <c r="G15" s="342"/>
      <c r="H15" s="342"/>
      <c r="I15" s="342"/>
      <c r="J15" s="342"/>
      <c r="K15" s="342">
        <v>67</v>
      </c>
      <c r="L15" s="342">
        <v>89</v>
      </c>
      <c r="M15" s="342">
        <v>87</v>
      </c>
      <c r="N15" s="342">
        <v>54</v>
      </c>
      <c r="O15" s="342">
        <v>74</v>
      </c>
      <c r="P15" s="339">
        <f t="shared" si="0"/>
        <v>6</v>
      </c>
      <c r="Q15" s="241"/>
      <c r="R15" s="167"/>
      <c r="S15" s="167"/>
    </row>
    <row r="16" spans="1:19">
      <c r="A16" s="472">
        <f t="shared" si="1"/>
        <v>14</v>
      </c>
      <c r="B16" s="342" t="s">
        <v>228</v>
      </c>
      <c r="C16" s="342"/>
      <c r="D16" s="342">
        <v>76</v>
      </c>
      <c r="E16" s="342">
        <v>87</v>
      </c>
      <c r="F16" s="342">
        <v>75</v>
      </c>
      <c r="G16" s="342">
        <v>83</v>
      </c>
      <c r="H16" s="342"/>
      <c r="I16" s="342"/>
      <c r="J16" s="342"/>
      <c r="K16" s="342"/>
      <c r="L16" s="342"/>
      <c r="M16" s="342"/>
      <c r="N16" s="342"/>
      <c r="O16" s="342"/>
      <c r="P16" s="339">
        <f t="shared" si="0"/>
        <v>4</v>
      </c>
      <c r="Q16" s="241"/>
      <c r="R16" s="167"/>
      <c r="S16" s="167"/>
    </row>
    <row r="17" spans="1:20">
      <c r="A17" s="472">
        <f t="shared" si="1"/>
        <v>15</v>
      </c>
      <c r="B17" s="342" t="s">
        <v>229</v>
      </c>
      <c r="C17" s="342"/>
      <c r="D17" s="342"/>
      <c r="E17" s="342"/>
      <c r="F17" s="342"/>
      <c r="G17" s="342"/>
      <c r="H17" s="342">
        <v>90</v>
      </c>
      <c r="I17" s="342">
        <v>86</v>
      </c>
      <c r="J17" s="342">
        <v>82</v>
      </c>
      <c r="K17" s="342">
        <v>89</v>
      </c>
      <c r="L17" s="342"/>
      <c r="M17" s="342"/>
      <c r="N17" s="342"/>
      <c r="O17" s="342"/>
      <c r="P17" s="339">
        <f t="shared" si="0"/>
        <v>4</v>
      </c>
      <c r="Q17" s="241"/>
      <c r="R17" s="167"/>
      <c r="S17" s="167"/>
    </row>
    <row r="18" spans="1:20">
      <c r="A18" s="472">
        <f t="shared" si="1"/>
        <v>16</v>
      </c>
      <c r="B18" s="343" t="s">
        <v>231</v>
      </c>
      <c r="C18" s="342">
        <v>89</v>
      </c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>
        <v>70</v>
      </c>
      <c r="P18" s="339">
        <f t="shared" si="0"/>
        <v>2</v>
      </c>
      <c r="Q18" s="241"/>
      <c r="R18" s="167"/>
      <c r="S18" s="167"/>
    </row>
    <row r="19" spans="1:20">
      <c r="A19" s="472">
        <f t="shared" si="1"/>
        <v>17</v>
      </c>
      <c r="B19" s="342" t="s">
        <v>232</v>
      </c>
      <c r="C19" s="341">
        <v>85</v>
      </c>
      <c r="D19" s="341">
        <v>82</v>
      </c>
      <c r="E19" s="341">
        <v>87</v>
      </c>
      <c r="F19" s="341">
        <v>80</v>
      </c>
      <c r="G19" s="341">
        <v>88</v>
      </c>
      <c r="H19" s="342"/>
      <c r="I19" s="342"/>
      <c r="J19" s="342"/>
      <c r="K19" s="342"/>
      <c r="L19" s="342"/>
      <c r="M19" s="342"/>
      <c r="N19" s="342"/>
      <c r="O19" s="342"/>
      <c r="P19" s="339">
        <f t="shared" si="0"/>
        <v>5</v>
      </c>
      <c r="Q19" s="241"/>
      <c r="R19" s="167"/>
      <c r="S19" s="167"/>
    </row>
    <row r="20" spans="1:20">
      <c r="A20" s="472">
        <f t="shared" si="1"/>
        <v>18</v>
      </c>
      <c r="B20" s="342" t="s">
        <v>233</v>
      </c>
      <c r="C20" s="342">
        <v>81</v>
      </c>
      <c r="D20" s="344"/>
      <c r="E20" s="344"/>
      <c r="F20" s="341"/>
      <c r="G20" s="341"/>
      <c r="H20" s="342"/>
      <c r="I20" s="342"/>
      <c r="J20" s="342"/>
      <c r="K20" s="342"/>
      <c r="L20" s="342">
        <v>63</v>
      </c>
      <c r="M20" s="342"/>
      <c r="N20" s="342"/>
      <c r="O20" s="342">
        <v>57</v>
      </c>
      <c r="P20" s="339">
        <f t="shared" si="0"/>
        <v>3</v>
      </c>
      <c r="Q20" s="241"/>
      <c r="R20" s="167"/>
      <c r="S20" s="167"/>
    </row>
    <row r="21" spans="1:20">
      <c r="A21" s="472">
        <f t="shared" si="1"/>
        <v>19</v>
      </c>
      <c r="B21" s="342" t="s">
        <v>234</v>
      </c>
      <c r="C21" s="344"/>
      <c r="D21" s="344"/>
      <c r="E21" s="344"/>
      <c r="F21" s="341"/>
      <c r="G21" s="341"/>
      <c r="H21" s="342"/>
      <c r="I21" s="342"/>
      <c r="J21" s="342"/>
      <c r="K21" s="342"/>
      <c r="L21" s="342"/>
      <c r="M21" s="342"/>
      <c r="N21" s="342">
        <v>35</v>
      </c>
      <c r="O21" s="342">
        <v>52</v>
      </c>
      <c r="P21" s="339">
        <f t="shared" si="0"/>
        <v>2</v>
      </c>
      <c r="Q21" s="241"/>
      <c r="R21" s="309"/>
      <c r="S21" s="309"/>
    </row>
    <row r="22" spans="1:20">
      <c r="A22" s="472">
        <f t="shared" si="1"/>
        <v>20</v>
      </c>
      <c r="B22" s="342" t="s">
        <v>235</v>
      </c>
      <c r="C22" s="342">
        <v>60</v>
      </c>
      <c r="D22" s="342">
        <v>81</v>
      </c>
      <c r="E22" s="342">
        <v>73</v>
      </c>
      <c r="F22" s="342">
        <v>61</v>
      </c>
      <c r="G22" s="342">
        <v>27</v>
      </c>
      <c r="H22" s="342">
        <v>56</v>
      </c>
      <c r="I22" s="342">
        <v>52</v>
      </c>
      <c r="J22" s="342">
        <v>42</v>
      </c>
      <c r="K22" s="342">
        <v>23</v>
      </c>
      <c r="L22" s="342">
        <v>27</v>
      </c>
      <c r="M22" s="342">
        <v>44</v>
      </c>
      <c r="N22" s="342">
        <v>18</v>
      </c>
      <c r="O22" s="342">
        <v>30</v>
      </c>
      <c r="P22" s="339">
        <f t="shared" si="0"/>
        <v>13</v>
      </c>
      <c r="Q22" s="241"/>
      <c r="R22" s="309"/>
      <c r="S22" s="309"/>
    </row>
    <row r="23" spans="1:20">
      <c r="A23" s="472">
        <f t="shared" si="1"/>
        <v>21</v>
      </c>
      <c r="B23" s="342" t="s">
        <v>236</v>
      </c>
      <c r="C23" s="342"/>
      <c r="D23" s="342"/>
      <c r="E23" s="342"/>
      <c r="F23" s="342"/>
      <c r="G23" s="342"/>
      <c r="H23" s="342"/>
      <c r="I23" s="342">
        <v>69</v>
      </c>
      <c r="J23" s="342">
        <v>87</v>
      </c>
      <c r="K23" s="342">
        <v>64</v>
      </c>
      <c r="L23" s="342">
        <v>58</v>
      </c>
      <c r="M23" s="342"/>
      <c r="N23" s="342"/>
      <c r="O23" s="342"/>
      <c r="P23" s="339">
        <f t="shared" si="0"/>
        <v>4</v>
      </c>
    </row>
    <row r="24" spans="1:20">
      <c r="A24" s="472">
        <f t="shared" si="1"/>
        <v>22</v>
      </c>
      <c r="B24" s="342" t="s">
        <v>237</v>
      </c>
      <c r="C24" s="342">
        <v>85.5</v>
      </c>
      <c r="D24" s="342">
        <v>90</v>
      </c>
      <c r="E24" s="342">
        <v>87.5</v>
      </c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39">
        <f t="shared" si="0"/>
        <v>3</v>
      </c>
      <c r="Q24" s="241"/>
      <c r="R24" s="309"/>
      <c r="S24" s="309"/>
    </row>
    <row r="25" spans="1:20">
      <c r="A25" s="472">
        <f t="shared" si="1"/>
        <v>23</v>
      </c>
      <c r="B25" s="342" t="s">
        <v>238</v>
      </c>
      <c r="C25" s="342"/>
      <c r="D25" s="342"/>
      <c r="E25" s="342"/>
      <c r="F25" s="342"/>
      <c r="G25" s="342"/>
      <c r="H25" s="342"/>
      <c r="I25" s="342">
        <v>68</v>
      </c>
      <c r="J25" s="342">
        <v>82.75</v>
      </c>
      <c r="K25" s="342">
        <v>55.5</v>
      </c>
      <c r="L25" s="342">
        <v>56.75</v>
      </c>
      <c r="M25" s="342"/>
      <c r="N25" s="342"/>
      <c r="O25" s="342"/>
      <c r="P25" s="339">
        <f t="shared" si="0"/>
        <v>4</v>
      </c>
    </row>
    <row r="26" spans="1:20">
      <c r="A26" s="472">
        <f t="shared" si="1"/>
        <v>24</v>
      </c>
      <c r="B26" s="342" t="s">
        <v>239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>
        <v>72</v>
      </c>
      <c r="N26" s="342"/>
      <c r="O26" s="342"/>
      <c r="P26" s="339">
        <f t="shared" si="0"/>
        <v>1</v>
      </c>
      <c r="Q26" s="241"/>
      <c r="R26" s="167"/>
      <c r="S26" s="167"/>
    </row>
    <row r="27" spans="1:20">
      <c r="A27" s="472">
        <f t="shared" si="1"/>
        <v>25</v>
      </c>
      <c r="B27" s="342" t="s">
        <v>240</v>
      </c>
      <c r="C27" s="342"/>
      <c r="D27" s="342">
        <v>88</v>
      </c>
      <c r="E27" s="342">
        <v>85</v>
      </c>
      <c r="F27" s="342">
        <v>83</v>
      </c>
      <c r="G27" s="342">
        <v>79</v>
      </c>
      <c r="H27" s="342">
        <v>90</v>
      </c>
      <c r="I27" s="342">
        <v>86</v>
      </c>
      <c r="J27" s="342">
        <v>85</v>
      </c>
      <c r="K27" s="342">
        <v>67</v>
      </c>
      <c r="L27" s="342"/>
      <c r="M27" s="342"/>
      <c r="N27" s="342"/>
      <c r="O27" s="342"/>
      <c r="P27" s="339">
        <f t="shared" si="0"/>
        <v>8</v>
      </c>
      <c r="Q27" s="241"/>
      <c r="R27" s="167"/>
      <c r="S27" s="167"/>
    </row>
    <row r="28" spans="1:20">
      <c r="A28" s="472">
        <f t="shared" si="1"/>
        <v>26</v>
      </c>
      <c r="B28" s="342" t="s">
        <v>241</v>
      </c>
      <c r="C28" s="342"/>
      <c r="D28" s="342"/>
      <c r="E28" s="342"/>
      <c r="F28" s="342"/>
      <c r="G28" s="342"/>
      <c r="H28" s="342"/>
      <c r="I28" s="342"/>
      <c r="J28" s="342">
        <v>87</v>
      </c>
      <c r="K28" s="342">
        <v>73</v>
      </c>
      <c r="L28" s="342">
        <v>68</v>
      </c>
      <c r="M28" s="342">
        <v>78</v>
      </c>
      <c r="N28" s="342"/>
      <c r="O28" s="342"/>
      <c r="P28" s="339">
        <f t="shared" si="0"/>
        <v>4</v>
      </c>
      <c r="Q28" s="241"/>
      <c r="R28" s="167"/>
      <c r="S28" s="167"/>
    </row>
    <row r="29" spans="1:20">
      <c r="A29" s="472">
        <f t="shared" si="1"/>
        <v>27</v>
      </c>
      <c r="B29" s="342" t="s">
        <v>242</v>
      </c>
      <c r="C29" s="342">
        <v>94</v>
      </c>
      <c r="D29" s="342">
        <v>99</v>
      </c>
      <c r="E29" s="342">
        <v>94</v>
      </c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39">
        <f t="shared" si="0"/>
        <v>3</v>
      </c>
    </row>
    <row r="30" spans="1:20">
      <c r="A30" s="472">
        <f t="shared" si="1"/>
        <v>28</v>
      </c>
      <c r="B30" s="342" t="s">
        <v>243</v>
      </c>
      <c r="C30" s="342"/>
      <c r="D30" s="342"/>
      <c r="E30" s="342"/>
      <c r="F30" s="342"/>
      <c r="G30" s="342"/>
      <c r="H30" s="342">
        <v>87</v>
      </c>
      <c r="I30" s="342">
        <v>76</v>
      </c>
      <c r="J30" s="342">
        <v>85</v>
      </c>
      <c r="K30" s="342">
        <v>70</v>
      </c>
      <c r="L30" s="342"/>
      <c r="M30" s="342"/>
      <c r="N30" s="342"/>
      <c r="O30" s="342"/>
      <c r="P30" s="339">
        <f t="shared" si="0"/>
        <v>4</v>
      </c>
      <c r="Q30" s="241"/>
      <c r="R30" s="167"/>
      <c r="S30" s="167"/>
    </row>
    <row r="31" spans="1:20">
      <c r="A31" s="472">
        <f t="shared" si="1"/>
        <v>29</v>
      </c>
      <c r="B31" s="342" t="s">
        <v>244</v>
      </c>
      <c r="C31" s="342"/>
      <c r="D31" s="342"/>
      <c r="E31" s="342"/>
      <c r="F31" s="342"/>
      <c r="G31" s="342"/>
      <c r="H31" s="342"/>
      <c r="I31" s="342">
        <v>64</v>
      </c>
      <c r="J31" s="342"/>
      <c r="K31" s="342"/>
      <c r="L31" s="342"/>
      <c r="M31" s="342"/>
      <c r="N31" s="342">
        <v>19</v>
      </c>
      <c r="O31" s="342"/>
      <c r="P31" s="339">
        <f t="shared" si="0"/>
        <v>2</v>
      </c>
      <c r="Q31" s="241"/>
      <c r="R31" s="167"/>
      <c r="S31" s="167"/>
      <c r="T31" s="256"/>
    </row>
    <row r="32" spans="1:20">
      <c r="A32" s="472">
        <f t="shared" si="1"/>
        <v>30</v>
      </c>
      <c r="B32" s="342" t="s">
        <v>245</v>
      </c>
      <c r="C32" s="342"/>
      <c r="D32" s="342"/>
      <c r="E32" s="342"/>
      <c r="F32" s="342"/>
      <c r="G32" s="342"/>
      <c r="H32" s="342"/>
      <c r="I32" s="342"/>
      <c r="J32" s="342"/>
      <c r="K32" s="342">
        <v>66</v>
      </c>
      <c r="L32" s="342">
        <v>70</v>
      </c>
      <c r="M32" s="342">
        <v>68</v>
      </c>
      <c r="N32" s="342">
        <v>15</v>
      </c>
      <c r="O32" s="342"/>
      <c r="P32" s="339">
        <f t="shared" si="0"/>
        <v>4</v>
      </c>
      <c r="Q32" s="241"/>
      <c r="R32" s="309"/>
      <c r="S32" s="309"/>
      <c r="T32" s="256"/>
    </row>
    <row r="33" spans="1:17">
      <c r="A33" s="472">
        <f t="shared" si="1"/>
        <v>31</v>
      </c>
      <c r="B33" s="342" t="s">
        <v>246</v>
      </c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>
        <v>72</v>
      </c>
      <c r="N33" s="342">
        <v>25</v>
      </c>
      <c r="O33" s="342">
        <v>52</v>
      </c>
      <c r="P33" s="339">
        <f t="shared" si="0"/>
        <v>3</v>
      </c>
    </row>
    <row r="34" spans="1:17">
      <c r="A34" s="472">
        <f t="shared" si="1"/>
        <v>32</v>
      </c>
      <c r="B34" s="342" t="s">
        <v>247</v>
      </c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>
        <v>90</v>
      </c>
      <c r="N34" s="342">
        <v>33</v>
      </c>
      <c r="O34" s="342">
        <v>66</v>
      </c>
      <c r="P34" s="339">
        <f t="shared" si="0"/>
        <v>3</v>
      </c>
    </row>
    <row r="35" spans="1:17">
      <c r="A35" s="472">
        <f t="shared" si="1"/>
        <v>33</v>
      </c>
      <c r="B35" s="343" t="s">
        <v>248</v>
      </c>
      <c r="C35" s="342"/>
      <c r="D35" s="342">
        <v>85</v>
      </c>
      <c r="E35" s="342">
        <v>90</v>
      </c>
      <c r="F35" s="342">
        <v>86</v>
      </c>
      <c r="G35" s="342">
        <v>72</v>
      </c>
      <c r="H35" s="342"/>
      <c r="I35" s="342"/>
      <c r="J35" s="342"/>
      <c r="K35" s="342"/>
      <c r="L35" s="342"/>
      <c r="M35" s="342"/>
      <c r="N35" s="342"/>
      <c r="O35" s="342"/>
      <c r="P35" s="339">
        <f t="shared" ref="P35:P58" si="2">COUNTA(C35:O35)</f>
        <v>4</v>
      </c>
    </row>
    <row r="36" spans="1:17">
      <c r="A36" s="472">
        <f t="shared" si="1"/>
        <v>34</v>
      </c>
      <c r="B36" s="343" t="s">
        <v>249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>
        <v>74</v>
      </c>
      <c r="N36" s="342">
        <v>62</v>
      </c>
      <c r="O36" s="342">
        <v>30</v>
      </c>
      <c r="P36" s="339">
        <f t="shared" si="2"/>
        <v>3</v>
      </c>
    </row>
    <row r="37" spans="1:17">
      <c r="A37" s="472">
        <f t="shared" si="1"/>
        <v>35</v>
      </c>
      <c r="B37" s="343" t="s">
        <v>251</v>
      </c>
      <c r="C37" s="342">
        <v>59</v>
      </c>
      <c r="D37" s="342">
        <v>99</v>
      </c>
      <c r="E37" s="342">
        <v>89</v>
      </c>
      <c r="F37" s="342">
        <v>89</v>
      </c>
      <c r="G37" s="342">
        <v>82</v>
      </c>
      <c r="H37" s="342">
        <v>80</v>
      </c>
      <c r="I37" s="342">
        <v>57</v>
      </c>
      <c r="J37" s="342">
        <v>78</v>
      </c>
      <c r="K37" s="342">
        <v>62</v>
      </c>
      <c r="L37" s="342">
        <v>63</v>
      </c>
      <c r="M37" s="342">
        <v>65</v>
      </c>
      <c r="N37" s="342">
        <v>12</v>
      </c>
      <c r="O37" s="342">
        <v>41</v>
      </c>
      <c r="P37" s="339">
        <f t="shared" si="2"/>
        <v>13</v>
      </c>
    </row>
    <row r="38" spans="1:17">
      <c r="A38" s="472">
        <f t="shared" si="1"/>
        <v>36</v>
      </c>
      <c r="B38" s="342" t="s">
        <v>252</v>
      </c>
      <c r="C38" s="342">
        <v>88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>
        <v>44</v>
      </c>
      <c r="P38" s="339">
        <f t="shared" si="2"/>
        <v>2</v>
      </c>
    </row>
    <row r="39" spans="1:17">
      <c r="A39" s="472">
        <f t="shared" si="1"/>
        <v>37</v>
      </c>
      <c r="B39" s="342" t="s">
        <v>253</v>
      </c>
      <c r="C39" s="342"/>
      <c r="D39" s="342"/>
      <c r="E39" s="342"/>
      <c r="F39" s="342"/>
      <c r="G39" s="342"/>
      <c r="H39" s="342"/>
      <c r="I39" s="342"/>
      <c r="J39" s="342"/>
      <c r="K39" s="342"/>
      <c r="L39" s="342">
        <v>73</v>
      </c>
      <c r="M39" s="342">
        <v>88</v>
      </c>
      <c r="N39" s="342">
        <v>40</v>
      </c>
      <c r="O39" s="342">
        <v>61</v>
      </c>
      <c r="P39" s="339">
        <f t="shared" si="2"/>
        <v>4</v>
      </c>
    </row>
    <row r="40" spans="1:17">
      <c r="A40" s="472">
        <f t="shared" si="1"/>
        <v>38</v>
      </c>
      <c r="B40" s="342" t="s">
        <v>254</v>
      </c>
      <c r="C40" s="342"/>
      <c r="D40" s="342"/>
      <c r="E40" s="342"/>
      <c r="F40" s="342"/>
      <c r="G40" s="342"/>
      <c r="H40" s="342">
        <v>90</v>
      </c>
      <c r="I40" s="342">
        <v>90</v>
      </c>
      <c r="J40" s="342">
        <v>93</v>
      </c>
      <c r="K40" s="342">
        <v>79</v>
      </c>
      <c r="L40" s="342"/>
      <c r="M40" s="342"/>
      <c r="N40" s="342"/>
      <c r="O40" s="342"/>
      <c r="P40" s="339">
        <f t="shared" si="2"/>
        <v>4</v>
      </c>
    </row>
    <row r="41" spans="1:17" s="340" customFormat="1">
      <c r="A41" s="472">
        <f t="shared" si="1"/>
        <v>39</v>
      </c>
      <c r="B41" s="341" t="s">
        <v>263</v>
      </c>
      <c r="C41" s="342"/>
      <c r="D41" s="342"/>
      <c r="E41" s="342"/>
      <c r="F41" s="342"/>
      <c r="G41" s="342"/>
      <c r="H41" s="342"/>
      <c r="I41" s="342">
        <f>7+15+12+12+6+7+8+5</f>
        <v>72</v>
      </c>
      <c r="J41" s="342">
        <f>8+20+13+13+8+9+9+5</f>
        <v>85</v>
      </c>
      <c r="K41" s="342">
        <f>8+21+18+12+6+7+9+4</f>
        <v>85</v>
      </c>
      <c r="L41" s="342">
        <f>7+20+12+13+7+8+8+4</f>
        <v>79</v>
      </c>
      <c r="M41" s="342"/>
      <c r="N41" s="342"/>
      <c r="O41" s="342"/>
      <c r="P41" s="339">
        <f t="shared" si="2"/>
        <v>4</v>
      </c>
      <c r="Q41" s="339"/>
    </row>
    <row r="42" spans="1:17">
      <c r="A42" s="472">
        <f t="shared" si="1"/>
        <v>40</v>
      </c>
      <c r="B42" s="343" t="s">
        <v>256</v>
      </c>
      <c r="C42" s="342"/>
      <c r="D42" s="342"/>
      <c r="E42" s="342"/>
      <c r="F42" s="342"/>
      <c r="G42" s="342">
        <v>80</v>
      </c>
      <c r="H42" s="342">
        <v>77</v>
      </c>
      <c r="I42" s="342">
        <v>80</v>
      </c>
      <c r="J42" s="342"/>
      <c r="K42" s="342"/>
      <c r="L42" s="342">
        <v>67</v>
      </c>
      <c r="M42" s="342"/>
      <c r="N42" s="342"/>
      <c r="O42" s="342"/>
      <c r="P42" s="339">
        <f t="shared" si="2"/>
        <v>4</v>
      </c>
    </row>
    <row r="43" spans="1:17">
      <c r="A43" s="472">
        <f t="shared" si="1"/>
        <v>41</v>
      </c>
      <c r="B43" s="342" t="s">
        <v>249</v>
      </c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>
        <v>74</v>
      </c>
      <c r="N43" s="342">
        <v>24</v>
      </c>
      <c r="O43" s="342">
        <v>30</v>
      </c>
      <c r="P43" s="339">
        <f t="shared" si="2"/>
        <v>3</v>
      </c>
    </row>
    <row r="44" spans="1:17">
      <c r="A44" s="472">
        <f t="shared" si="1"/>
        <v>42</v>
      </c>
      <c r="B44" s="342" t="s">
        <v>257</v>
      </c>
      <c r="C44" s="342"/>
      <c r="D44" s="342"/>
      <c r="E44" s="342">
        <v>76</v>
      </c>
      <c r="F44" s="342">
        <v>76</v>
      </c>
      <c r="G44" s="342">
        <v>70</v>
      </c>
      <c r="H44" s="342">
        <v>89</v>
      </c>
      <c r="I44" s="342"/>
      <c r="J44" s="342"/>
      <c r="K44" s="342"/>
      <c r="L44" s="342"/>
      <c r="M44" s="342"/>
      <c r="N44" s="342"/>
      <c r="O44" s="342"/>
      <c r="P44" s="339">
        <f t="shared" si="2"/>
        <v>4</v>
      </c>
    </row>
    <row r="45" spans="1:17">
      <c r="A45" s="472">
        <f t="shared" si="1"/>
        <v>43</v>
      </c>
      <c r="B45" s="342" t="s">
        <v>258</v>
      </c>
      <c r="C45" s="342">
        <v>86</v>
      </c>
      <c r="D45" s="342">
        <v>91</v>
      </c>
      <c r="E45" s="342"/>
      <c r="F45" s="342"/>
      <c r="G45" s="342"/>
      <c r="H45" s="342"/>
      <c r="I45" s="342"/>
      <c r="J45" s="342"/>
      <c r="K45" s="342"/>
      <c r="L45" s="342">
        <v>61</v>
      </c>
      <c r="M45" s="342">
        <v>83</v>
      </c>
      <c r="N45" s="342">
        <v>17</v>
      </c>
      <c r="O45" s="342">
        <v>40</v>
      </c>
      <c r="P45" s="339">
        <f t="shared" si="2"/>
        <v>6</v>
      </c>
    </row>
    <row r="46" spans="1:17">
      <c r="A46" s="472">
        <f t="shared" si="1"/>
        <v>44</v>
      </c>
      <c r="B46" s="342" t="s">
        <v>259</v>
      </c>
      <c r="C46" s="342"/>
      <c r="D46" s="342"/>
      <c r="E46" s="342"/>
      <c r="F46" s="342">
        <v>79</v>
      </c>
      <c r="G46" s="342">
        <v>65</v>
      </c>
      <c r="H46" s="342">
        <v>83</v>
      </c>
      <c r="I46" s="342">
        <v>69</v>
      </c>
      <c r="J46" s="342"/>
      <c r="K46" s="342"/>
      <c r="L46" s="342"/>
      <c r="M46" s="342"/>
      <c r="N46" s="342"/>
      <c r="O46" s="342"/>
      <c r="P46" s="339">
        <f t="shared" si="2"/>
        <v>4</v>
      </c>
    </row>
    <row r="47" spans="1:17" s="309" customFormat="1">
      <c r="A47" s="472">
        <f t="shared" si="1"/>
        <v>45</v>
      </c>
      <c r="B47" s="342" t="s">
        <v>260</v>
      </c>
      <c r="C47" s="342"/>
      <c r="D47" s="342"/>
      <c r="E47" s="342">
        <v>92</v>
      </c>
      <c r="F47" s="342">
        <v>82</v>
      </c>
      <c r="G47" s="342">
        <v>71</v>
      </c>
      <c r="H47" s="342">
        <v>78</v>
      </c>
      <c r="I47" s="342">
        <v>73</v>
      </c>
      <c r="J47" s="342">
        <v>67</v>
      </c>
      <c r="K47" s="342"/>
      <c r="L47" s="342"/>
      <c r="M47" s="342"/>
      <c r="N47" s="342"/>
      <c r="O47" s="342"/>
      <c r="P47" s="339">
        <f t="shared" si="2"/>
        <v>6</v>
      </c>
      <c r="Q47" s="241"/>
    </row>
    <row r="48" spans="1:17">
      <c r="A48" s="472">
        <f t="shared" si="1"/>
        <v>46</v>
      </c>
      <c r="B48" s="342" t="s">
        <v>261</v>
      </c>
      <c r="C48" s="342">
        <v>91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39">
        <f t="shared" si="2"/>
        <v>1</v>
      </c>
    </row>
    <row r="49" spans="1:16">
      <c r="A49" s="472">
        <f t="shared" si="1"/>
        <v>47</v>
      </c>
      <c r="B49" s="342" t="s">
        <v>262</v>
      </c>
      <c r="C49" s="342"/>
      <c r="D49" s="342"/>
      <c r="E49" s="342"/>
      <c r="F49" s="342"/>
      <c r="G49" s="342">
        <v>85</v>
      </c>
      <c r="H49" s="342">
        <v>88</v>
      </c>
      <c r="I49" s="342">
        <v>82</v>
      </c>
      <c r="J49" s="342">
        <v>91</v>
      </c>
      <c r="K49" s="342"/>
      <c r="L49" s="342"/>
      <c r="M49" s="342"/>
      <c r="N49" s="342"/>
      <c r="O49" s="342"/>
      <c r="P49" s="339">
        <f t="shared" si="2"/>
        <v>4</v>
      </c>
    </row>
    <row r="50" spans="1:16">
      <c r="A50" s="472">
        <f t="shared" si="1"/>
        <v>48</v>
      </c>
      <c r="B50" s="342" t="s">
        <v>290</v>
      </c>
      <c r="C50" s="342"/>
      <c r="D50" s="342"/>
      <c r="E50" s="342">
        <v>89</v>
      </c>
      <c r="F50" s="342">
        <v>83</v>
      </c>
      <c r="G50" s="342">
        <v>66</v>
      </c>
      <c r="H50" s="342">
        <v>83</v>
      </c>
      <c r="I50" s="342"/>
      <c r="J50" s="342"/>
      <c r="K50" s="342"/>
      <c r="L50" s="342"/>
      <c r="M50" s="342"/>
      <c r="N50" s="342"/>
      <c r="O50" s="342"/>
      <c r="P50" s="339">
        <f t="shared" si="2"/>
        <v>4</v>
      </c>
    </row>
    <row r="51" spans="1:16">
      <c r="A51" s="472">
        <f t="shared" si="1"/>
        <v>49</v>
      </c>
      <c r="B51" s="342" t="s">
        <v>297</v>
      </c>
      <c r="C51" s="342">
        <v>81</v>
      </c>
      <c r="D51" s="342">
        <v>86</v>
      </c>
      <c r="E51" s="342">
        <v>85</v>
      </c>
      <c r="F51" s="342">
        <v>76</v>
      </c>
      <c r="G51" s="342">
        <v>85</v>
      </c>
      <c r="H51" s="342"/>
      <c r="I51" s="342"/>
      <c r="J51" s="342"/>
      <c r="K51" s="342"/>
      <c r="L51" s="342">
        <v>63</v>
      </c>
      <c r="M51" s="342"/>
      <c r="N51" s="342"/>
      <c r="O51" s="342">
        <v>57</v>
      </c>
      <c r="P51" s="339">
        <f t="shared" si="2"/>
        <v>7</v>
      </c>
    </row>
    <row r="52" spans="1:16">
      <c r="A52" s="472">
        <f t="shared" si="1"/>
        <v>50</v>
      </c>
      <c r="B52" s="342" t="s">
        <v>303</v>
      </c>
      <c r="C52" s="342">
        <v>79</v>
      </c>
      <c r="D52" s="342">
        <v>81</v>
      </c>
      <c r="E52" s="342">
        <v>83</v>
      </c>
      <c r="F52" s="342">
        <v>82</v>
      </c>
      <c r="G52" s="342"/>
      <c r="H52" s="342"/>
      <c r="I52" s="342"/>
      <c r="J52" s="342"/>
      <c r="K52" s="342"/>
      <c r="L52" s="342"/>
      <c r="M52" s="342"/>
      <c r="N52" s="342"/>
      <c r="O52" s="342"/>
      <c r="P52" s="339">
        <f t="shared" si="2"/>
        <v>4</v>
      </c>
    </row>
    <row r="53" spans="1:16">
      <c r="A53" s="472">
        <f t="shared" si="1"/>
        <v>51</v>
      </c>
      <c r="B53" s="343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39">
        <f t="shared" si="2"/>
        <v>0</v>
      </c>
    </row>
    <row r="54" spans="1:16">
      <c r="A54" s="472">
        <f t="shared" si="1"/>
        <v>52</v>
      </c>
      <c r="B54" s="342"/>
      <c r="C54" s="342"/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  <c r="O54" s="342"/>
      <c r="P54" s="339">
        <f t="shared" si="2"/>
        <v>0</v>
      </c>
    </row>
    <row r="55" spans="1:16">
      <c r="A55" s="472">
        <f t="shared" si="1"/>
        <v>53</v>
      </c>
      <c r="B55" s="343"/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39">
        <f t="shared" si="2"/>
        <v>0</v>
      </c>
    </row>
    <row r="56" spans="1:16">
      <c r="A56" s="472">
        <f t="shared" si="1"/>
        <v>54</v>
      </c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  <c r="O56" s="342"/>
      <c r="P56" s="339">
        <f t="shared" si="2"/>
        <v>0</v>
      </c>
    </row>
    <row r="57" spans="1:16">
      <c r="A57" s="472">
        <f t="shared" si="1"/>
        <v>55</v>
      </c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39">
        <f t="shared" si="2"/>
        <v>0</v>
      </c>
    </row>
    <row r="58" spans="1:16">
      <c r="A58" s="472">
        <f t="shared" si="1"/>
        <v>56</v>
      </c>
      <c r="B58" s="343"/>
      <c r="C58" s="342"/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39">
        <f t="shared" si="2"/>
        <v>0</v>
      </c>
    </row>
    <row r="59" spans="1:16">
      <c r="A59" s="472">
        <f t="shared" si="1"/>
        <v>57</v>
      </c>
      <c r="B59" s="343"/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39">
        <f t="shared" ref="P59:P65" si="3">COUNTA(C59:O59)</f>
        <v>0</v>
      </c>
    </row>
    <row r="60" spans="1:16">
      <c r="A60" s="472">
        <f t="shared" si="1"/>
        <v>58</v>
      </c>
      <c r="B60" s="343"/>
      <c r="C60" s="342"/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39">
        <f t="shared" si="3"/>
        <v>0</v>
      </c>
    </row>
    <row r="61" spans="1:16">
      <c r="A61" s="472">
        <f t="shared" si="1"/>
        <v>59</v>
      </c>
      <c r="B61" s="343"/>
      <c r="C61" s="342"/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39">
        <f t="shared" si="3"/>
        <v>0</v>
      </c>
    </row>
    <row r="62" spans="1:16">
      <c r="A62" s="472">
        <f t="shared" si="1"/>
        <v>60</v>
      </c>
      <c r="B62" s="343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39">
        <f t="shared" si="3"/>
        <v>0</v>
      </c>
    </row>
    <row r="63" spans="1:16">
      <c r="A63" s="390">
        <v>61</v>
      </c>
      <c r="B63" s="343"/>
      <c r="C63" s="344"/>
      <c r="D63" s="344"/>
      <c r="E63" s="344"/>
      <c r="F63" s="344"/>
      <c r="G63" s="344"/>
      <c r="H63" s="341"/>
      <c r="I63" s="341"/>
      <c r="J63" s="341"/>
      <c r="K63" s="341"/>
      <c r="L63" s="342"/>
      <c r="M63" s="342"/>
      <c r="N63" s="344"/>
      <c r="O63" s="344"/>
      <c r="P63" s="339">
        <f t="shared" si="3"/>
        <v>0</v>
      </c>
    </row>
    <row r="64" spans="1:16">
      <c r="A64" s="390"/>
      <c r="B64" s="343"/>
      <c r="C64" s="341"/>
      <c r="D64" s="344"/>
      <c r="E64" s="344"/>
      <c r="F64" s="344"/>
      <c r="G64" s="344"/>
      <c r="H64" s="344"/>
      <c r="I64" s="344"/>
      <c r="J64" s="344"/>
      <c r="K64" s="344"/>
      <c r="L64" s="344"/>
      <c r="M64" s="341"/>
      <c r="N64" s="341"/>
      <c r="O64" s="341"/>
      <c r="P64" s="339">
        <f t="shared" si="3"/>
        <v>0</v>
      </c>
    </row>
    <row r="65" spans="1:19">
      <c r="A65" s="390"/>
      <c r="B65" s="343"/>
      <c r="C65" s="344"/>
      <c r="D65" s="341"/>
      <c r="E65" s="341"/>
      <c r="F65" s="341"/>
      <c r="G65" s="341"/>
      <c r="H65" s="344"/>
      <c r="I65" s="344"/>
      <c r="J65" s="344"/>
      <c r="K65" s="344"/>
      <c r="L65" s="344"/>
      <c r="M65" s="344"/>
      <c r="N65" s="344"/>
      <c r="O65" s="344"/>
      <c r="P65" s="339">
        <f t="shared" si="3"/>
        <v>0</v>
      </c>
    </row>
    <row r="67" spans="1:19">
      <c r="A67" s="310" t="s">
        <v>72</v>
      </c>
      <c r="C67" s="345">
        <f t="shared" ref="C67:L67" si="4">AVERAGE(C3:C66)</f>
        <v>77.71875</v>
      </c>
      <c r="D67" s="345">
        <f t="shared" si="4"/>
        <v>84.214285714285708</v>
      </c>
      <c r="E67" s="345">
        <f t="shared" si="4"/>
        <v>85.21875</v>
      </c>
      <c r="F67" s="345">
        <f t="shared" si="4"/>
        <v>76.400000000000006</v>
      </c>
      <c r="G67" s="345">
        <f t="shared" si="4"/>
        <v>70.411764705882348</v>
      </c>
      <c r="H67" s="345">
        <f t="shared" si="4"/>
        <v>82.84210526315789</v>
      </c>
      <c r="I67" s="345">
        <f t="shared" si="4"/>
        <v>73.900000000000006</v>
      </c>
      <c r="J67" s="345">
        <f t="shared" si="4"/>
        <v>80.763888888888886</v>
      </c>
      <c r="K67" s="345">
        <f t="shared" si="4"/>
        <v>65.96875</v>
      </c>
      <c r="L67" s="345">
        <f t="shared" si="4"/>
        <v>63.097222222222221</v>
      </c>
      <c r="M67" s="345">
        <f t="shared" ref="M67" si="5">AVERAGE(M3:M66)</f>
        <v>76.5</v>
      </c>
      <c r="N67" s="345">
        <f t="shared" ref="N67:O67" si="6">AVERAGE(N3:N66)</f>
        <v>29.588235294117649</v>
      </c>
      <c r="O67" s="345">
        <f t="shared" si="6"/>
        <v>49.05263157894737</v>
      </c>
    </row>
    <row r="68" spans="1:19">
      <c r="A68" s="310" t="s">
        <v>52</v>
      </c>
      <c r="C68" s="345">
        <f>IF(C67&lt;5, 5,C67)</f>
        <v>77.71875</v>
      </c>
      <c r="D68" s="345">
        <f t="shared" ref="D68:L68" si="7">IF(D67&lt;5, 5,D67)</f>
        <v>84.214285714285708</v>
      </c>
      <c r="E68" s="345">
        <f t="shared" si="7"/>
        <v>85.21875</v>
      </c>
      <c r="F68" s="345">
        <f t="shared" si="7"/>
        <v>76.400000000000006</v>
      </c>
      <c r="G68" s="345">
        <f t="shared" si="7"/>
        <v>70.411764705882348</v>
      </c>
      <c r="H68" s="345">
        <f t="shared" si="7"/>
        <v>82.84210526315789</v>
      </c>
      <c r="I68" s="345">
        <f t="shared" si="7"/>
        <v>73.900000000000006</v>
      </c>
      <c r="J68" s="345">
        <f t="shared" si="7"/>
        <v>80.763888888888886</v>
      </c>
      <c r="K68" s="345">
        <f t="shared" si="7"/>
        <v>65.96875</v>
      </c>
      <c r="L68" s="345">
        <f t="shared" si="7"/>
        <v>63.097222222222221</v>
      </c>
      <c r="M68" s="345">
        <f t="shared" ref="M68" si="8">IF(M67&lt;5, 5,M67)</f>
        <v>76.5</v>
      </c>
      <c r="N68" s="345">
        <f t="shared" ref="N68:O68" si="9">IF(N67&lt;5, 5,N67)</f>
        <v>29.588235294117649</v>
      </c>
      <c r="O68" s="345">
        <f t="shared" si="9"/>
        <v>49.05263157894737</v>
      </c>
    </row>
    <row r="69" spans="1:19">
      <c r="M69" s="163"/>
      <c r="O69" s="163"/>
      <c r="S69" s="309" t="s">
        <v>143</v>
      </c>
    </row>
    <row r="70" spans="1:19">
      <c r="A70" s="310" t="s">
        <v>170</v>
      </c>
      <c r="C70" s="163">
        <f>COUNTA(C3:C65)</f>
        <v>16</v>
      </c>
      <c r="D70" s="163">
        <f t="shared" ref="D70:N70" si="10">COUNTA(D3:D65)</f>
        <v>14</v>
      </c>
      <c r="E70" s="163">
        <f t="shared" si="10"/>
        <v>16</v>
      </c>
      <c r="F70" s="163">
        <f t="shared" si="10"/>
        <v>15</v>
      </c>
      <c r="G70" s="163">
        <f t="shared" si="10"/>
        <v>17</v>
      </c>
      <c r="H70" s="163">
        <f t="shared" si="10"/>
        <v>19</v>
      </c>
      <c r="I70" s="163">
        <f t="shared" si="10"/>
        <v>20</v>
      </c>
      <c r="J70" s="163">
        <f t="shared" si="10"/>
        <v>18</v>
      </c>
      <c r="K70" s="163">
        <f t="shared" si="10"/>
        <v>16</v>
      </c>
      <c r="L70" s="163">
        <f t="shared" si="10"/>
        <v>18</v>
      </c>
      <c r="M70" s="163">
        <f t="shared" ref="M70" si="11">COUNTA(M3:M65)</f>
        <v>16</v>
      </c>
      <c r="N70" s="163">
        <f t="shared" si="10"/>
        <v>17</v>
      </c>
      <c r="O70" s="163">
        <f t="shared" ref="O70" si="12">COUNTA(O3:O65)</f>
        <v>19</v>
      </c>
      <c r="S70" s="309" t="s">
        <v>144</v>
      </c>
    </row>
    <row r="71" spans="1:19">
      <c r="B71" s="310" t="s">
        <v>175</v>
      </c>
      <c r="C71" s="310">
        <f t="shared" ref="C71:L71" si="13">RANK(C68,$C$68:$O$68)</f>
        <v>5</v>
      </c>
      <c r="D71" s="310">
        <f t="shared" si="13"/>
        <v>2</v>
      </c>
      <c r="E71" s="310">
        <f t="shared" si="13"/>
        <v>1</v>
      </c>
      <c r="F71" s="310">
        <f t="shared" si="13"/>
        <v>7</v>
      </c>
      <c r="G71" s="310">
        <f t="shared" si="13"/>
        <v>9</v>
      </c>
      <c r="H71" s="310">
        <f t="shared" si="13"/>
        <v>3</v>
      </c>
      <c r="I71" s="310">
        <f t="shared" si="13"/>
        <v>8</v>
      </c>
      <c r="J71" s="310">
        <f t="shared" si="13"/>
        <v>4</v>
      </c>
      <c r="K71" s="310">
        <f t="shared" si="13"/>
        <v>10</v>
      </c>
      <c r="L71" s="310">
        <f t="shared" si="13"/>
        <v>11</v>
      </c>
      <c r="M71" s="310">
        <f t="shared" ref="M71" si="14">RANK(M68,$C$68:$O$68)</f>
        <v>6</v>
      </c>
      <c r="N71" s="310">
        <f t="shared" ref="N71:O71" si="15">RANK(N68,$C$68:$O$68)</f>
        <v>13</v>
      </c>
      <c r="O71" s="310">
        <f t="shared" si="15"/>
        <v>12</v>
      </c>
    </row>
  </sheetData>
  <phoneticPr fontId="23" type="noConversion"/>
  <printOptions gridLines="1"/>
  <pageMargins left="0.75" right="0.75" top="1" bottom="1" header="0.5" footer="0.5"/>
  <pageSetup scale="50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25"/>
  <sheetViews>
    <sheetView zoomScale="75" workbookViewId="0">
      <selection activeCell="H13" sqref="H13"/>
    </sheetView>
  </sheetViews>
  <sheetFormatPr defaultColWidth="8.88671875" defaultRowHeight="13.2"/>
  <cols>
    <col min="1" max="1" width="50.88671875" customWidth="1"/>
  </cols>
  <sheetData>
    <row r="1" spans="1:3" ht="17.399999999999999">
      <c r="A1" s="7" t="s">
        <v>201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24"/>
      <c r="B4" s="23" t="s">
        <v>9</v>
      </c>
      <c r="C4" s="20"/>
    </row>
    <row r="5" spans="1:3" ht="14.4">
      <c r="A5" s="417" t="s">
        <v>186</v>
      </c>
      <c r="B5" s="391">
        <v>50</v>
      </c>
    </row>
    <row r="6" spans="1:3" ht="14.4">
      <c r="A6" s="417" t="s">
        <v>187</v>
      </c>
      <c r="B6" s="391">
        <v>50</v>
      </c>
    </row>
    <row r="7" spans="1:3" ht="14.4">
      <c r="A7" s="417" t="s">
        <v>188</v>
      </c>
      <c r="B7" s="391">
        <v>50</v>
      </c>
    </row>
    <row r="8" spans="1:3" s="229" customFormat="1" ht="14.4">
      <c r="A8" s="375" t="s">
        <v>189</v>
      </c>
      <c r="B8" s="391">
        <v>50</v>
      </c>
    </row>
    <row r="9" spans="1:3" ht="14.4">
      <c r="A9" s="417" t="s">
        <v>190</v>
      </c>
      <c r="B9" s="391">
        <v>50</v>
      </c>
    </row>
    <row r="10" spans="1:3" ht="14.4">
      <c r="A10" s="417" t="s">
        <v>191</v>
      </c>
      <c r="B10" s="391">
        <v>50</v>
      </c>
    </row>
    <row r="11" spans="1:3" ht="14.4">
      <c r="A11" s="375" t="s">
        <v>192</v>
      </c>
      <c r="B11" s="391">
        <v>50</v>
      </c>
    </row>
    <row r="12" spans="1:3" ht="14.4">
      <c r="A12" s="417" t="s">
        <v>193</v>
      </c>
      <c r="B12" s="391">
        <v>50</v>
      </c>
    </row>
    <row r="13" spans="1:3" ht="14.4">
      <c r="A13" s="417" t="s">
        <v>194</v>
      </c>
      <c r="B13" s="391">
        <v>50</v>
      </c>
    </row>
    <row r="14" spans="1:3" s="140" customFormat="1" ht="14.4">
      <c r="A14" s="417" t="s">
        <v>195</v>
      </c>
      <c r="B14" s="391">
        <v>50</v>
      </c>
    </row>
    <row r="15" spans="1:3" ht="14.4">
      <c r="A15" s="417" t="s">
        <v>196</v>
      </c>
      <c r="B15" s="391">
        <v>50</v>
      </c>
    </row>
    <row r="16" spans="1:3" ht="14.4">
      <c r="A16" s="417" t="s">
        <v>197</v>
      </c>
      <c r="B16" s="391">
        <v>50</v>
      </c>
    </row>
    <row r="17" spans="1:2" ht="14.4">
      <c r="A17" s="417" t="s">
        <v>198</v>
      </c>
      <c r="B17" s="391">
        <v>50</v>
      </c>
    </row>
    <row r="18" spans="1:2" ht="14.4">
      <c r="A18" s="374"/>
      <c r="B18" s="384" t="s">
        <v>45</v>
      </c>
    </row>
    <row r="19" spans="1:2">
      <c r="B19" s="309" t="s">
        <v>152</v>
      </c>
    </row>
    <row r="20" spans="1:2">
      <c r="A20" s="22"/>
    </row>
    <row r="21" spans="1:2">
      <c r="A21" s="22"/>
    </row>
    <row r="22" spans="1:2">
      <c r="A22" s="22"/>
    </row>
    <row r="23" spans="1:2">
      <c r="A23" s="22"/>
    </row>
    <row r="24" spans="1:2">
      <c r="A24" s="22"/>
    </row>
    <row r="25" spans="1:2">
      <c r="A25" s="22"/>
    </row>
  </sheetData>
  <phoneticPr fontId="23" type="noConversion"/>
  <printOptions gridLines="1"/>
  <pageMargins left="0.75" right="0.75" top="1" bottom="1" header="0.5" footer="0.5"/>
  <pageSetup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34"/>
  <sheetViews>
    <sheetView topLeftCell="A4" workbookViewId="0">
      <selection activeCell="O18" sqref="O18"/>
    </sheetView>
  </sheetViews>
  <sheetFormatPr defaultColWidth="8.88671875" defaultRowHeight="13.2"/>
  <cols>
    <col min="1" max="1" width="25.44140625" customWidth="1"/>
    <col min="2" max="2" width="11.44140625" bestFit="1" customWidth="1"/>
    <col min="3" max="3" width="12.44140625" customWidth="1"/>
    <col min="4" max="4" width="9.109375" hidden="1" customWidth="1"/>
    <col min="5" max="5" width="8.88671875" style="205"/>
    <col min="7" max="7" width="16.44140625" hidden="1" customWidth="1"/>
    <col min="8" max="8" width="11.44140625" customWidth="1"/>
    <col min="9" max="9" width="13.44140625" customWidth="1"/>
    <col min="10" max="10" width="13.109375" customWidth="1"/>
  </cols>
  <sheetData>
    <row r="1" spans="1:15" ht="17.399999999999999">
      <c r="A1" s="7" t="s">
        <v>202</v>
      </c>
      <c r="B1" s="6"/>
      <c r="C1" s="6"/>
      <c r="D1" s="6"/>
    </row>
    <row r="2" spans="1:15" s="65" customFormat="1">
      <c r="A2" s="38"/>
      <c r="B2" s="38"/>
      <c r="C2" s="38"/>
      <c r="D2" s="38"/>
      <c r="E2" s="205"/>
    </row>
    <row r="3" spans="1:15" s="65" customFormat="1">
      <c r="A3" s="38"/>
      <c r="B3" s="66"/>
      <c r="C3" s="80"/>
      <c r="D3" s="38"/>
      <c r="E3" s="205"/>
    </row>
    <row r="4" spans="1:15" s="65" customFormat="1">
      <c r="A4" s="38"/>
      <c r="B4" s="66"/>
      <c r="C4" s="80"/>
      <c r="D4" s="38"/>
      <c r="E4" s="205"/>
    </row>
    <row r="5" spans="1:15" s="65" customFormat="1" ht="17.399999999999999">
      <c r="A5" s="24"/>
      <c r="B5" s="24"/>
      <c r="C5" s="24"/>
      <c r="D5" s="38"/>
      <c r="E5" s="205"/>
      <c r="H5" s="315"/>
    </row>
    <row r="6" spans="1:15" ht="52.8">
      <c r="A6" s="130" t="s">
        <v>120</v>
      </c>
      <c r="B6" s="130"/>
      <c r="C6" s="130" t="s">
        <v>67</v>
      </c>
      <c r="D6" s="130"/>
      <c r="E6" s="269" t="s">
        <v>146</v>
      </c>
      <c r="F6" s="269"/>
      <c r="G6" s="269"/>
      <c r="H6" s="269" t="s">
        <v>117</v>
      </c>
      <c r="I6" s="269" t="s">
        <v>118</v>
      </c>
      <c r="J6" s="269" t="s">
        <v>119</v>
      </c>
      <c r="K6" s="269"/>
      <c r="L6" s="269" t="s">
        <v>149</v>
      </c>
      <c r="M6" s="269" t="s">
        <v>27</v>
      </c>
    </row>
    <row r="7" spans="1:15" ht="18">
      <c r="A7" s="481" t="s">
        <v>186</v>
      </c>
      <c r="C7" s="268">
        <v>10442.07</v>
      </c>
      <c r="D7" s="263"/>
      <c r="E7" s="319">
        <f t="shared" ref="E7:E18" si="0">-($B$24*C7)+$B$25</f>
        <v>18.64888613529606</v>
      </c>
      <c r="F7" s="53"/>
      <c r="H7" s="390">
        <v>10</v>
      </c>
      <c r="I7" s="429">
        <v>9</v>
      </c>
      <c r="J7" s="430">
        <v>9</v>
      </c>
      <c r="K7" s="53"/>
      <c r="L7" s="256">
        <f>IF(SUM(E7:J7)&lt;2.5,2.5,SUM(E7:J7))</f>
        <v>46.64888613529606</v>
      </c>
      <c r="M7" s="254">
        <f t="shared" ref="M7:M16" si="1">RANK(L7,$L$7:$L$19)</f>
        <v>2</v>
      </c>
    </row>
    <row r="8" spans="1:15" ht="18">
      <c r="A8" s="481" t="s">
        <v>187</v>
      </c>
      <c r="C8" s="268">
        <v>10899</v>
      </c>
      <c r="D8" s="264"/>
      <c r="E8" s="319">
        <f t="shared" si="0"/>
        <v>17.560059930359252</v>
      </c>
      <c r="F8" s="53"/>
      <c r="H8" s="431">
        <v>10</v>
      </c>
      <c r="I8" s="432">
        <v>10</v>
      </c>
      <c r="J8" s="433">
        <v>9</v>
      </c>
      <c r="K8" s="53"/>
      <c r="L8" s="256">
        <f t="shared" ref="L8:L16" si="2">IF(SUM(E8:J8)&lt;2.5,2.5,SUM(E8:J8))</f>
        <v>46.560059930359252</v>
      </c>
      <c r="M8" s="254">
        <f t="shared" si="1"/>
        <v>3</v>
      </c>
    </row>
    <row r="9" spans="1:15" ht="36">
      <c r="A9" s="481" t="s">
        <v>188</v>
      </c>
      <c r="C9" s="268">
        <v>11951.29</v>
      </c>
      <c r="D9" s="265"/>
      <c r="E9" s="319">
        <f t="shared" si="0"/>
        <v>15.052540338314618</v>
      </c>
      <c r="F9" s="53"/>
      <c r="H9" s="431">
        <v>2</v>
      </c>
      <c r="I9" s="432">
        <v>7</v>
      </c>
      <c r="J9" s="433">
        <v>1</v>
      </c>
      <c r="K9" s="53"/>
      <c r="L9" s="256">
        <f t="shared" si="2"/>
        <v>25.052540338314618</v>
      </c>
      <c r="M9" s="254">
        <f t="shared" si="1"/>
        <v>11</v>
      </c>
    </row>
    <row r="10" spans="1:15" s="252" customFormat="1" ht="54">
      <c r="A10" s="481" t="s">
        <v>189</v>
      </c>
      <c r="B10"/>
      <c r="C10" s="268">
        <v>9875.07</v>
      </c>
      <c r="D10" s="266"/>
      <c r="E10" s="319">
        <f t="shared" si="0"/>
        <v>19.999999999999996</v>
      </c>
      <c r="F10" s="53"/>
      <c r="G10"/>
      <c r="H10" s="431">
        <v>9</v>
      </c>
      <c r="I10" s="432">
        <v>10</v>
      </c>
      <c r="J10" s="433">
        <v>10</v>
      </c>
      <c r="K10" s="53"/>
      <c r="L10" s="256">
        <f t="shared" si="2"/>
        <v>49</v>
      </c>
      <c r="M10" s="254">
        <f t="shared" si="1"/>
        <v>1</v>
      </c>
    </row>
    <row r="11" spans="1:15" s="252" customFormat="1" ht="36">
      <c r="A11" s="481" t="s">
        <v>190</v>
      </c>
      <c r="B11"/>
      <c r="C11" s="491">
        <v>15866.525</v>
      </c>
      <c r="D11" s="265"/>
      <c r="E11" s="319">
        <f t="shared" si="0"/>
        <v>5.7228608108470382</v>
      </c>
      <c r="F11" s="53"/>
      <c r="G11"/>
      <c r="H11" s="431">
        <v>8</v>
      </c>
      <c r="I11" s="432">
        <v>7</v>
      </c>
      <c r="J11" s="433">
        <v>4</v>
      </c>
      <c r="K11" s="53"/>
      <c r="L11" s="256">
        <f t="shared" si="2"/>
        <v>24.722860810847038</v>
      </c>
      <c r="M11" s="254">
        <f t="shared" si="1"/>
        <v>12</v>
      </c>
    </row>
    <row r="12" spans="1:15" s="252" customFormat="1" ht="36">
      <c r="A12" s="481" t="s">
        <v>191</v>
      </c>
      <c r="B12"/>
      <c r="C12" s="491">
        <v>18268.145</v>
      </c>
      <c r="D12" s="265"/>
      <c r="E12" s="319">
        <f t="shared" si="0"/>
        <v>0</v>
      </c>
      <c r="F12" s="53"/>
      <c r="G12"/>
      <c r="H12" s="431">
        <v>8</v>
      </c>
      <c r="I12" s="432">
        <v>7</v>
      </c>
      <c r="J12" s="433">
        <v>7</v>
      </c>
      <c r="K12" s="53"/>
      <c r="L12" s="256">
        <f t="shared" si="2"/>
        <v>22</v>
      </c>
      <c r="M12" s="254">
        <f t="shared" si="1"/>
        <v>13</v>
      </c>
    </row>
    <row r="13" spans="1:15" ht="18">
      <c r="A13" s="481" t="s">
        <v>192</v>
      </c>
      <c r="C13" s="491">
        <v>14769.89</v>
      </c>
      <c r="D13" s="263"/>
      <c r="E13" s="319">
        <f t="shared" si="0"/>
        <v>8.3360508514459823</v>
      </c>
      <c r="F13" s="53"/>
      <c r="H13" s="431">
        <v>10</v>
      </c>
      <c r="I13" s="432">
        <v>10</v>
      </c>
      <c r="J13" s="433">
        <v>8</v>
      </c>
      <c r="K13" s="53"/>
      <c r="L13" s="256">
        <f t="shared" si="2"/>
        <v>36.336050851445982</v>
      </c>
      <c r="M13" s="254">
        <f t="shared" si="1"/>
        <v>5</v>
      </c>
      <c r="O13" s="205"/>
    </row>
    <row r="14" spans="1:15" ht="36">
      <c r="A14" s="481" t="s">
        <v>193</v>
      </c>
      <c r="C14" s="268">
        <v>10721.69</v>
      </c>
      <c r="D14" s="263"/>
      <c r="E14" s="319">
        <f t="shared" si="0"/>
        <v>17.982574920395678</v>
      </c>
      <c r="F14" s="53"/>
      <c r="H14" s="431">
        <v>8</v>
      </c>
      <c r="I14" s="432">
        <v>9</v>
      </c>
      <c r="J14" s="433">
        <v>4</v>
      </c>
      <c r="K14" s="53"/>
      <c r="L14" s="256">
        <f t="shared" si="2"/>
        <v>38.982574920395678</v>
      </c>
      <c r="M14" s="254">
        <f t="shared" si="1"/>
        <v>4</v>
      </c>
    </row>
    <row r="15" spans="1:15" ht="36">
      <c r="A15" s="481" t="s">
        <v>194</v>
      </c>
      <c r="C15" s="491">
        <v>13245.619999999999</v>
      </c>
      <c r="D15" s="263"/>
      <c r="E15" s="319">
        <f t="shared" si="0"/>
        <v>11.968259547305369</v>
      </c>
      <c r="F15" s="53"/>
      <c r="H15" s="431">
        <v>7</v>
      </c>
      <c r="I15" s="432">
        <v>6</v>
      </c>
      <c r="J15" s="433">
        <v>4</v>
      </c>
      <c r="K15" s="53"/>
      <c r="L15" s="256">
        <f t="shared" si="2"/>
        <v>28.968259547305369</v>
      </c>
      <c r="M15" s="254">
        <f t="shared" si="1"/>
        <v>10</v>
      </c>
    </row>
    <row r="16" spans="1:15" ht="18">
      <c r="A16" s="481" t="s">
        <v>195</v>
      </c>
      <c r="C16" s="491">
        <v>12558.129999999997</v>
      </c>
      <c r="D16" s="267"/>
      <c r="E16" s="319">
        <f t="shared" si="0"/>
        <v>13.606491065551069</v>
      </c>
      <c r="F16" s="53"/>
      <c r="H16" s="431">
        <v>8</v>
      </c>
      <c r="I16" s="432">
        <v>6</v>
      </c>
      <c r="J16" s="433">
        <v>6</v>
      </c>
      <c r="K16" s="53"/>
      <c r="L16" s="256">
        <f t="shared" si="2"/>
        <v>33.606491065551069</v>
      </c>
      <c r="M16" s="254">
        <f t="shared" si="1"/>
        <v>7</v>
      </c>
    </row>
    <row r="17" spans="1:15" ht="36">
      <c r="A17" s="481" t="s">
        <v>196</v>
      </c>
      <c r="C17" s="268">
        <v>15750.834999999999</v>
      </c>
      <c r="D17" s="268"/>
      <c r="E17" s="319">
        <f t="shared" si="0"/>
        <v>5.9985404634177542</v>
      </c>
      <c r="F17" s="53"/>
      <c r="H17" s="431">
        <v>10</v>
      </c>
      <c r="I17" s="432">
        <v>10</v>
      </c>
      <c r="J17" s="433">
        <v>10</v>
      </c>
      <c r="K17" s="53"/>
      <c r="L17" s="256">
        <f t="shared" ref="L17:L18" si="3">IF(SUM(E17:J17)&lt;2.5,2.5,SUM(E17:J17))</f>
        <v>35.998540463417754</v>
      </c>
      <c r="M17" s="254">
        <f t="shared" ref="M17" si="4">RANK(L17,$L$7:$L$19)</f>
        <v>6</v>
      </c>
    </row>
    <row r="18" spans="1:15" s="140" customFormat="1" ht="36">
      <c r="A18" s="481" t="s">
        <v>197</v>
      </c>
      <c r="B18"/>
      <c r="C18" s="263">
        <v>11984.880000000001</v>
      </c>
      <c r="D18" s="265"/>
      <c r="E18" s="319">
        <f t="shared" si="0"/>
        <v>14.972498160686037</v>
      </c>
      <c r="F18" s="53"/>
      <c r="G18"/>
      <c r="H18" s="431">
        <v>9</v>
      </c>
      <c r="I18" s="432">
        <v>6</v>
      </c>
      <c r="J18" s="433">
        <v>1</v>
      </c>
      <c r="K18" s="53"/>
      <c r="L18" s="256">
        <f t="shared" si="3"/>
        <v>30.972498160686037</v>
      </c>
      <c r="M18" s="254">
        <f>RANK(L18,$L$7:$L$19)</f>
        <v>8</v>
      </c>
      <c r="O18" s="143"/>
    </row>
    <row r="19" spans="1:15" s="140" customFormat="1" ht="18">
      <c r="A19" s="481" t="s">
        <v>198</v>
      </c>
      <c r="B19"/>
      <c r="C19" s="268">
        <v>15968.93</v>
      </c>
      <c r="D19" s="265"/>
      <c r="E19" s="319">
        <f>-($B$24*C19)+$B$25</f>
        <v>5.4788382088805321</v>
      </c>
      <c r="F19" s="53"/>
      <c r="G19"/>
      <c r="H19" s="431">
        <v>9</v>
      </c>
      <c r="I19" s="432">
        <v>8</v>
      </c>
      <c r="J19" s="433">
        <v>7</v>
      </c>
      <c r="K19" s="53"/>
      <c r="L19" s="256">
        <f t="shared" ref="L19" si="5">IF(SUM(E19:J19)&lt;2.5,2.5,SUM(E19:J19))</f>
        <v>29.478838208880532</v>
      </c>
      <c r="M19" s="254">
        <f>RANK(L19,$L$7:$L$19)</f>
        <v>9</v>
      </c>
    </row>
    <row r="20" spans="1:15" ht="14.4">
      <c r="A20" s="288"/>
      <c r="B20" s="57"/>
      <c r="C20" s="310"/>
      <c r="D20" s="6"/>
      <c r="M20" s="316"/>
    </row>
    <row r="21" spans="1:15" ht="14.4">
      <c r="A21" s="320" t="s">
        <v>130</v>
      </c>
      <c r="B21" s="57"/>
      <c r="C21" s="191"/>
      <c r="D21" s="6"/>
      <c r="L21" s="309" t="s">
        <v>151</v>
      </c>
    </row>
    <row r="22" spans="1:15">
      <c r="A22" s="129" t="s">
        <v>131</v>
      </c>
      <c r="B22" s="40"/>
      <c r="C22" s="52"/>
      <c r="D22" s="6"/>
    </row>
    <row r="23" spans="1:15">
      <c r="A23" s="129" t="s">
        <v>132</v>
      </c>
      <c r="B23" s="40"/>
      <c r="C23" s="52"/>
      <c r="D23" s="6"/>
    </row>
    <row r="24" spans="1:15">
      <c r="A24" s="129" t="s">
        <v>133</v>
      </c>
      <c r="B24" s="296">
        <f>20/(B27-B26)</f>
        <v>2.3829168689663799E-3</v>
      </c>
      <c r="C24" s="52"/>
      <c r="D24" s="6"/>
    </row>
    <row r="25" spans="1:15">
      <c r="A25" s="129" t="s">
        <v>134</v>
      </c>
      <c r="B25" s="40">
        <f>20+(B24*B26)</f>
        <v>43.531470885223825</v>
      </c>
      <c r="C25" s="52"/>
      <c r="D25" s="6"/>
    </row>
    <row r="26" spans="1:15">
      <c r="A26" s="129" t="s">
        <v>76</v>
      </c>
      <c r="B26" s="294">
        <f>MIN(C7:C19)</f>
        <v>9875.07</v>
      </c>
      <c r="C26" s="52"/>
      <c r="D26" s="6"/>
    </row>
    <row r="27" spans="1:15">
      <c r="A27" s="49" t="s">
        <v>135</v>
      </c>
      <c r="B27" s="295">
        <f>MAX(C7:C19)</f>
        <v>18268.145</v>
      </c>
      <c r="C27" s="52"/>
      <c r="D27" s="6"/>
    </row>
    <row r="28" spans="1:15">
      <c r="A28" s="49" t="s">
        <v>136</v>
      </c>
      <c r="B28" s="293">
        <v>20</v>
      </c>
      <c r="C28" s="52"/>
      <c r="D28" s="6"/>
    </row>
    <row r="29" spans="1:15">
      <c r="A29" s="49"/>
      <c r="B29" s="40"/>
      <c r="C29" s="52"/>
      <c r="D29" s="6"/>
    </row>
    <row r="30" spans="1:15">
      <c r="A30" s="318" t="s">
        <v>148</v>
      </c>
      <c r="B30" s="40"/>
      <c r="C30" s="52"/>
      <c r="D30" s="6"/>
      <c r="H30" s="309" t="s">
        <v>147</v>
      </c>
    </row>
    <row r="31" spans="1:15">
      <c r="A31" s="50"/>
      <c r="B31" s="40"/>
      <c r="C31" s="52"/>
    </row>
    <row r="32" spans="1:15">
      <c r="A32" s="1"/>
      <c r="B32" s="24"/>
      <c r="C32" s="1"/>
    </row>
    <row r="33" spans="1:3">
      <c r="A33" s="1"/>
      <c r="B33" s="1"/>
      <c r="C33" s="1"/>
    </row>
    <row r="34" spans="1:3">
      <c r="A34" s="1"/>
      <c r="B34" s="1"/>
      <c r="C34" s="1"/>
    </row>
  </sheetData>
  <phoneticPr fontId="23" type="noConversion"/>
  <printOptions gridLines="1"/>
  <pageMargins left="0.75" right="0.75" top="1" bottom="1" header="0.5" footer="0.5"/>
  <pageSetup scale="77" orientation="landscape" horizontalDpi="4294967294" verticalDpi="20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37"/>
  <sheetViews>
    <sheetView topLeftCell="B1" zoomScale="80" zoomScaleNormal="80" workbookViewId="0">
      <selection activeCell="R16" sqref="R16"/>
    </sheetView>
  </sheetViews>
  <sheetFormatPr defaultColWidth="8.88671875" defaultRowHeight="13.2"/>
  <cols>
    <col min="1" max="1" width="42" customWidth="1"/>
    <col min="2" max="16" width="7.6640625" style="398" customWidth="1"/>
    <col min="17" max="17" width="10" style="3" bestFit="1" customWidth="1"/>
    <col min="18" max="18" width="7.44140625" style="3" customWidth="1"/>
    <col min="19" max="19" width="8.88671875" style="3" customWidth="1"/>
  </cols>
  <sheetData>
    <row r="1" spans="1:22" ht="17.399999999999999">
      <c r="A1" s="456" t="s">
        <v>213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1"/>
      <c r="R1" s="32"/>
      <c r="S1" s="31"/>
    </row>
    <row r="2" spans="1:22" ht="21">
      <c r="A2" s="243" t="s">
        <v>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6"/>
      <c r="M2" s="395"/>
      <c r="N2" s="397"/>
      <c r="O2" s="395"/>
      <c r="P2" s="395"/>
      <c r="Q2" s="43"/>
      <c r="R2" s="174"/>
      <c r="S2" s="43"/>
      <c r="T2" s="309"/>
    </row>
    <row r="3" spans="1:22" s="3" customFormat="1">
      <c r="A3" s="164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44" t="s">
        <v>72</v>
      </c>
      <c r="R3" s="44" t="s">
        <v>52</v>
      </c>
      <c r="S3" s="46" t="s">
        <v>27</v>
      </c>
      <c r="T3" s="364"/>
      <c r="U3" s="364"/>
      <c r="V3" s="365"/>
    </row>
    <row r="4" spans="1:22" ht="18">
      <c r="A4" s="480" t="s">
        <v>186</v>
      </c>
      <c r="B4" s="419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270"/>
      <c r="Q4" s="495">
        <v>32</v>
      </c>
      <c r="R4" s="317">
        <f>IF(Q4&lt;2.5,2.5,Q4)</f>
        <v>32</v>
      </c>
      <c r="S4" s="47">
        <f t="shared" ref="S4:S10" si="0">RANK(R4,$R$4:$R$16)</f>
        <v>10</v>
      </c>
      <c r="T4" s="366"/>
      <c r="U4" s="366"/>
      <c r="V4" s="367"/>
    </row>
    <row r="5" spans="1:22" ht="18">
      <c r="A5" s="480" t="s">
        <v>187</v>
      </c>
      <c r="B5" s="421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270"/>
      <c r="Q5" s="495">
        <v>38.055999999999997</v>
      </c>
      <c r="R5" s="317">
        <f t="shared" ref="R5:R10" si="1">IF(Q5&lt;2.5,2.5,Q5)</f>
        <v>38.055999999999997</v>
      </c>
      <c r="S5" s="47">
        <f t="shared" si="0"/>
        <v>5</v>
      </c>
      <c r="T5" s="366"/>
      <c r="U5" s="366"/>
      <c r="V5" s="367"/>
    </row>
    <row r="6" spans="1:22" ht="18">
      <c r="A6" s="480" t="s">
        <v>188</v>
      </c>
      <c r="B6" s="421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270"/>
      <c r="Q6" s="495">
        <v>36.5</v>
      </c>
      <c r="R6" s="317">
        <f t="shared" si="1"/>
        <v>36.5</v>
      </c>
      <c r="S6" s="47">
        <f t="shared" si="0"/>
        <v>7</v>
      </c>
      <c r="T6" s="366"/>
      <c r="U6" s="366"/>
      <c r="V6" s="367"/>
    </row>
    <row r="7" spans="1:22" s="205" customFormat="1" ht="18">
      <c r="A7" s="480" t="s">
        <v>189</v>
      </c>
      <c r="B7" s="421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270"/>
      <c r="Q7" s="495">
        <v>31.375</v>
      </c>
      <c r="R7" s="317">
        <f t="shared" ref="R7" si="2">IF(Q7&lt;2.5,2.5,Q7)</f>
        <v>31.375</v>
      </c>
      <c r="S7" s="47">
        <f t="shared" ref="S7" si="3">RANK(R7,$R$4:$R$16)</f>
        <v>12</v>
      </c>
      <c r="T7" s="366"/>
      <c r="U7" s="366"/>
      <c r="V7" s="367"/>
    </row>
    <row r="8" spans="1:22" ht="18">
      <c r="A8" s="480" t="s">
        <v>190</v>
      </c>
      <c r="B8" s="421"/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270"/>
      <c r="Q8" s="495">
        <v>38.35</v>
      </c>
      <c r="R8" s="317">
        <f t="shared" si="1"/>
        <v>38.35</v>
      </c>
      <c r="S8" s="47">
        <f t="shared" si="0"/>
        <v>4</v>
      </c>
      <c r="T8" s="366"/>
      <c r="U8" s="366"/>
      <c r="V8" s="367"/>
    </row>
    <row r="9" spans="1:22" ht="18">
      <c r="A9" s="480" t="s">
        <v>191</v>
      </c>
      <c r="B9" s="421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270"/>
      <c r="Q9" s="495">
        <v>40.15</v>
      </c>
      <c r="R9" s="317">
        <f t="shared" si="1"/>
        <v>40.15</v>
      </c>
      <c r="S9" s="47">
        <f t="shared" si="0"/>
        <v>3</v>
      </c>
      <c r="T9" s="366"/>
      <c r="U9" s="366"/>
      <c r="V9" s="367"/>
    </row>
    <row r="10" spans="1:22" ht="18">
      <c r="A10" s="480" t="s">
        <v>192</v>
      </c>
      <c r="B10" s="421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270"/>
      <c r="Q10" s="495">
        <v>37.299999999999997</v>
      </c>
      <c r="R10" s="317">
        <f t="shared" si="1"/>
        <v>37.299999999999997</v>
      </c>
      <c r="S10" s="47">
        <f t="shared" si="0"/>
        <v>6</v>
      </c>
      <c r="T10" s="366"/>
      <c r="U10" s="366"/>
      <c r="V10" s="367"/>
    </row>
    <row r="11" spans="1:22" ht="18">
      <c r="A11" s="480" t="s">
        <v>193</v>
      </c>
      <c r="B11" s="421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270"/>
      <c r="Q11" s="495">
        <v>35.9</v>
      </c>
      <c r="R11" s="317">
        <f t="shared" ref="R11:R12" si="4">IF(Q11&lt;2.5,2.5,Q11)</f>
        <v>35.9</v>
      </c>
      <c r="S11" s="47">
        <f t="shared" ref="S11:S12" si="5">RANK(R11,$R$4:$R$16)</f>
        <v>8</v>
      </c>
      <c r="T11" s="366"/>
      <c r="U11" s="366"/>
      <c r="V11" s="367"/>
    </row>
    <row r="12" spans="1:22" ht="18">
      <c r="A12" s="480" t="s">
        <v>194</v>
      </c>
      <c r="B12" s="421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270"/>
      <c r="Q12" s="494">
        <v>42.389000000000003</v>
      </c>
      <c r="R12" s="317">
        <f t="shared" si="4"/>
        <v>42.389000000000003</v>
      </c>
      <c r="S12" s="47">
        <f t="shared" si="5"/>
        <v>1</v>
      </c>
      <c r="T12" s="366"/>
      <c r="U12" s="366"/>
      <c r="V12" s="367"/>
    </row>
    <row r="13" spans="1:22" ht="18">
      <c r="A13" s="480" t="s">
        <v>195</v>
      </c>
      <c r="B13" s="421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270"/>
      <c r="Q13" s="495">
        <v>41.55</v>
      </c>
      <c r="R13" s="317">
        <f t="shared" ref="R13:R14" si="6">IF(Q13&lt;2.5,2.5,Q13)</f>
        <v>41.55</v>
      </c>
      <c r="S13" s="47">
        <f t="shared" ref="S13:S16" si="7">RANK(R13,$R$4:$R$16)</f>
        <v>2</v>
      </c>
      <c r="T13" s="366"/>
      <c r="U13" s="366"/>
      <c r="V13" s="367"/>
    </row>
    <row r="14" spans="1:22" ht="18">
      <c r="A14" s="480" t="s">
        <v>196</v>
      </c>
      <c r="B14" s="421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270"/>
      <c r="Q14" s="495">
        <v>31.55</v>
      </c>
      <c r="R14" s="317">
        <f t="shared" si="6"/>
        <v>31.55</v>
      </c>
      <c r="S14" s="47">
        <f t="shared" si="7"/>
        <v>11</v>
      </c>
      <c r="T14" s="366"/>
      <c r="U14" s="366"/>
      <c r="V14" s="367"/>
    </row>
    <row r="15" spans="1:22" ht="18">
      <c r="A15" s="480" t="s">
        <v>197</v>
      </c>
      <c r="B15" s="421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270"/>
      <c r="Q15" s="495">
        <v>32.363999999999997</v>
      </c>
      <c r="R15" s="317">
        <f t="shared" ref="R15" si="8">IF(Q15&lt;2.5,2.5,Q15)</f>
        <v>32.363999999999997</v>
      </c>
      <c r="S15" s="47">
        <f t="shared" ref="S15" si="9">RANK(R15,$R$4:$R$16)</f>
        <v>9</v>
      </c>
      <c r="T15" s="366"/>
      <c r="U15" s="366"/>
      <c r="V15" s="367"/>
    </row>
    <row r="16" spans="1:22" ht="18">
      <c r="A16" s="480" t="s">
        <v>198</v>
      </c>
      <c r="B16" s="421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270"/>
      <c r="Q16" s="363"/>
      <c r="R16" s="317">
        <v>0</v>
      </c>
      <c r="S16" s="47">
        <f t="shared" si="7"/>
        <v>13</v>
      </c>
    </row>
    <row r="17" spans="2:19"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394"/>
      <c r="M17" s="394"/>
      <c r="N17" s="394"/>
      <c r="O17" s="394"/>
      <c r="P17" s="394"/>
      <c r="Q17" s="42"/>
      <c r="R17" s="42"/>
      <c r="S17" s="42"/>
    </row>
    <row r="18" spans="2:19">
      <c r="R18" s="309" t="s">
        <v>150</v>
      </c>
    </row>
    <row r="20" spans="2:19">
      <c r="B20" s="310" t="s">
        <v>45</v>
      </c>
    </row>
    <row r="29" spans="2:19">
      <c r="B29" s="399"/>
      <c r="C29" s="399"/>
      <c r="D29" s="399"/>
      <c r="E29" s="399"/>
      <c r="F29" s="399"/>
      <c r="G29" s="399"/>
      <c r="H29" s="399"/>
      <c r="I29" s="399"/>
      <c r="J29" s="399"/>
      <c r="K29" s="399"/>
    </row>
    <row r="37" spans="2:11">
      <c r="B37" s="399"/>
      <c r="C37" s="399"/>
      <c r="D37" s="399"/>
      <c r="E37" s="399"/>
      <c r="F37" s="399"/>
      <c r="G37" s="399"/>
      <c r="H37" s="399"/>
      <c r="I37" s="399"/>
      <c r="J37" s="399"/>
      <c r="K37" s="399"/>
    </row>
  </sheetData>
  <phoneticPr fontId="23" type="noConversion"/>
  <printOptions gridLines="1"/>
  <pageMargins left="0.75" right="0.75" top="1" bottom="1" header="0.5" footer="0.5"/>
  <pageSetup scale="75" orientation="landscape" horizont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24"/>
  <sheetViews>
    <sheetView zoomScale="90" zoomScaleNormal="90" workbookViewId="0">
      <selection activeCell="H38" sqref="H37:H38"/>
    </sheetView>
  </sheetViews>
  <sheetFormatPr defaultColWidth="8.88671875" defaultRowHeight="13.2"/>
  <cols>
    <col min="1" max="1" width="39.6640625" customWidth="1"/>
    <col min="2" max="2" width="15.21875" customWidth="1"/>
    <col min="3" max="3" width="13.88671875" style="362" bestFit="1" customWidth="1"/>
    <col min="4" max="4" width="10.109375" customWidth="1"/>
    <col min="5" max="5" width="12.44140625" customWidth="1"/>
    <col min="7" max="7" width="10.88671875" style="41" customWidth="1"/>
    <col min="8" max="8" width="61.77734375" style="3" customWidth="1"/>
    <col min="9" max="9" width="41.88671875" customWidth="1"/>
  </cols>
  <sheetData>
    <row r="1" spans="1:16" ht="45">
      <c r="A1" s="7" t="s">
        <v>203</v>
      </c>
      <c r="E1" s="190"/>
      <c r="F1" s="190"/>
    </row>
    <row r="2" spans="1:16" ht="17.399999999999999">
      <c r="A2" s="7"/>
      <c r="B2" s="7"/>
      <c r="C2" s="425"/>
      <c r="D2" s="6" t="s">
        <v>0</v>
      </c>
      <c r="E2" s="126">
        <f>MAX(C10:C22)</f>
        <v>8.49</v>
      </c>
      <c r="F2" s="6" t="s">
        <v>11</v>
      </c>
      <c r="G2" s="423" t="s">
        <v>28</v>
      </c>
      <c r="I2" s="62"/>
    </row>
    <row r="3" spans="1:16">
      <c r="A3" s="6"/>
      <c r="B3" s="6"/>
      <c r="C3" s="67"/>
      <c r="D3" s="6" t="s">
        <v>1</v>
      </c>
      <c r="E3" s="126">
        <f>MIN(C10:C22)</f>
        <v>3.82</v>
      </c>
      <c r="F3" s="6" t="s">
        <v>11</v>
      </c>
      <c r="G3" s="423" t="s">
        <v>29</v>
      </c>
      <c r="I3" s="62"/>
    </row>
    <row r="4" spans="1:16">
      <c r="A4" s="10"/>
      <c r="B4" s="10"/>
      <c r="C4" s="426"/>
      <c r="D4" s="6" t="s">
        <v>13</v>
      </c>
      <c r="E4" s="250">
        <v>95.5</v>
      </c>
      <c r="F4" s="6" t="s">
        <v>12</v>
      </c>
      <c r="G4" s="423" t="s">
        <v>30</v>
      </c>
      <c r="I4" s="62"/>
    </row>
    <row r="5" spans="1:16">
      <c r="A5" s="10"/>
      <c r="B5" s="10"/>
      <c r="C5" s="426"/>
      <c r="D5" s="6" t="s">
        <v>137</v>
      </c>
      <c r="E5" s="250"/>
      <c r="F5" s="6"/>
      <c r="G5" s="423"/>
      <c r="I5" s="62"/>
    </row>
    <row r="6" spans="1:16">
      <c r="A6" s="10"/>
      <c r="B6" s="10"/>
      <c r="C6" s="426"/>
      <c r="D6" s="6" t="s">
        <v>138</v>
      </c>
      <c r="E6" s="250">
        <f>100/(E2-E3)</f>
        <v>21.413276231263385</v>
      </c>
      <c r="F6" s="6"/>
      <c r="G6" s="423"/>
      <c r="I6" s="62"/>
    </row>
    <row r="7" spans="1:16">
      <c r="A7" s="10"/>
      <c r="B7" s="10"/>
      <c r="C7" s="426"/>
      <c r="D7" s="6" t="s">
        <v>139</v>
      </c>
      <c r="E7" s="250">
        <f>(E6*E2)</f>
        <v>181.79871520342616</v>
      </c>
      <c r="F7" s="6"/>
      <c r="G7" s="423"/>
      <c r="I7" s="62"/>
    </row>
    <row r="8" spans="1:16">
      <c r="A8" s="12"/>
      <c r="B8" s="12"/>
      <c r="C8" s="126"/>
      <c r="D8" s="12"/>
      <c r="E8" s="6"/>
      <c r="F8" s="6"/>
      <c r="H8" s="18"/>
      <c r="I8" s="63"/>
      <c r="J8" s="63"/>
    </row>
    <row r="9" spans="1:16" ht="39.6">
      <c r="A9" s="11"/>
      <c r="B9" s="39" t="s">
        <v>39</v>
      </c>
      <c r="C9" s="427" t="s">
        <v>50</v>
      </c>
      <c r="D9" s="39" t="s">
        <v>10</v>
      </c>
      <c r="E9" s="36" t="s">
        <v>142</v>
      </c>
      <c r="F9" s="36" t="s">
        <v>27</v>
      </c>
      <c r="G9" s="158" t="s">
        <v>66</v>
      </c>
      <c r="H9" s="2" t="s">
        <v>153</v>
      </c>
      <c r="I9" s="39"/>
      <c r="J9" s="36"/>
      <c r="L9" s="157" t="s">
        <v>45</v>
      </c>
    </row>
    <row r="10" spans="1:16" ht="18">
      <c r="A10" s="480" t="s">
        <v>186</v>
      </c>
      <c r="B10" s="351" t="s">
        <v>179</v>
      </c>
      <c r="C10" s="3">
        <v>3.82</v>
      </c>
      <c r="D10" s="487">
        <f>+G10/C10</f>
        <v>25</v>
      </c>
      <c r="E10" s="17">
        <f t="shared" ref="E10:E21" si="0">100-($E$6*C10)+$E$7</f>
        <v>200.00000000000003</v>
      </c>
      <c r="F10" s="310">
        <f t="shared" ref="F10:F22" si="1">RANK($E10,$E$10:$E$22)</f>
        <v>1</v>
      </c>
      <c r="G10" s="3">
        <v>95.5</v>
      </c>
      <c r="H10" s="310"/>
      <c r="I10" s="424"/>
      <c r="J10" s="6"/>
      <c r="L10" s="53" t="s">
        <v>45</v>
      </c>
      <c r="M10" s="65"/>
      <c r="N10" s="65"/>
      <c r="O10" s="65"/>
      <c r="P10" s="65"/>
    </row>
    <row r="11" spans="1:16" ht="18">
      <c r="A11" s="480" t="s">
        <v>187</v>
      </c>
      <c r="B11" s="351" t="s">
        <v>179</v>
      </c>
      <c r="C11" s="3">
        <v>5.01</v>
      </c>
      <c r="D11" s="487">
        <f t="shared" ref="D11:D22" si="2">+G11/C11</f>
        <v>19.061876247504991</v>
      </c>
      <c r="E11" s="17">
        <f t="shared" si="0"/>
        <v>174.51820128479659</v>
      </c>
      <c r="F11" s="310">
        <f t="shared" si="1"/>
        <v>4</v>
      </c>
      <c r="G11" s="3">
        <v>95.5</v>
      </c>
      <c r="H11" s="310"/>
      <c r="I11" s="424"/>
      <c r="J11" s="6"/>
      <c r="L11" s="53"/>
      <c r="M11" s="65"/>
      <c r="N11" s="65"/>
      <c r="O11" s="65"/>
      <c r="P11" s="65"/>
    </row>
    <row r="12" spans="1:16" ht="18">
      <c r="A12" s="480" t="s">
        <v>188</v>
      </c>
      <c r="B12" s="351" t="s">
        <v>179</v>
      </c>
      <c r="C12" s="3">
        <v>4.12</v>
      </c>
      <c r="D12" s="487">
        <f t="shared" si="2"/>
        <v>23.179611650485437</v>
      </c>
      <c r="E12" s="17">
        <f t="shared" si="0"/>
        <v>193.57601713062101</v>
      </c>
      <c r="F12" s="310">
        <f t="shared" si="1"/>
        <v>2</v>
      </c>
      <c r="G12" s="3">
        <v>95.5</v>
      </c>
      <c r="H12" s="310"/>
      <c r="I12" s="424"/>
      <c r="J12" s="6"/>
      <c r="L12" s="53"/>
      <c r="M12" s="65"/>
      <c r="N12" s="65"/>
      <c r="O12" s="65"/>
      <c r="P12" s="65"/>
    </row>
    <row r="13" spans="1:16" s="205" customFormat="1" ht="18">
      <c r="A13" s="480" t="s">
        <v>189</v>
      </c>
      <c r="B13" s="351" t="s">
        <v>179</v>
      </c>
      <c r="C13" s="3">
        <v>4.7300000000000004</v>
      </c>
      <c r="D13" s="487">
        <f t="shared" si="2"/>
        <v>20.190274841437631</v>
      </c>
      <c r="E13" s="17">
        <f t="shared" si="0"/>
        <v>180.51391862955035</v>
      </c>
      <c r="F13" s="310">
        <f t="shared" si="1"/>
        <v>3</v>
      </c>
      <c r="G13" s="3">
        <v>95.5</v>
      </c>
      <c r="H13" s="310"/>
      <c r="I13" s="424"/>
      <c r="J13" s="208"/>
      <c r="L13" s="207"/>
    </row>
    <row r="14" spans="1:16" s="205" customFormat="1" ht="18">
      <c r="A14" s="480" t="s">
        <v>190</v>
      </c>
      <c r="B14" s="351" t="s">
        <v>179</v>
      </c>
      <c r="C14" s="3">
        <v>8.49</v>
      </c>
      <c r="D14" s="487">
        <f t="shared" si="2"/>
        <v>11.248527679623086</v>
      </c>
      <c r="E14" s="17">
        <f t="shared" si="0"/>
        <v>100</v>
      </c>
      <c r="F14" s="310">
        <f t="shared" si="1"/>
        <v>10</v>
      </c>
      <c r="G14" s="3">
        <v>95.5</v>
      </c>
      <c r="H14" s="310"/>
      <c r="I14" s="424"/>
      <c r="J14" s="208"/>
      <c r="L14" s="207" t="s">
        <v>45</v>
      </c>
    </row>
    <row r="15" spans="1:16" ht="18">
      <c r="A15" s="480" t="s">
        <v>191</v>
      </c>
      <c r="B15" s="351" t="s">
        <v>179</v>
      </c>
      <c r="C15" s="3">
        <v>7.17</v>
      </c>
      <c r="D15" s="487">
        <f t="shared" si="2"/>
        <v>13.319386331938633</v>
      </c>
      <c r="E15" s="17">
        <f t="shared" si="0"/>
        <v>128.26552462526769</v>
      </c>
      <c r="F15" s="310">
        <f t="shared" si="1"/>
        <v>7</v>
      </c>
      <c r="G15" s="3">
        <v>95.5</v>
      </c>
      <c r="H15" s="310"/>
      <c r="I15" s="424"/>
      <c r="J15" s="6"/>
      <c r="L15" s="53"/>
      <c r="M15" s="65"/>
      <c r="N15" s="65"/>
      <c r="O15" s="65"/>
      <c r="P15" s="65"/>
    </row>
    <row r="16" spans="1:16" ht="15" customHeight="1">
      <c r="A16" s="480" t="s">
        <v>192</v>
      </c>
      <c r="B16" s="351" t="s">
        <v>179</v>
      </c>
      <c r="C16" s="3">
        <v>6.83</v>
      </c>
      <c r="D16" s="487">
        <f t="shared" si="2"/>
        <v>13.982430453879941</v>
      </c>
      <c r="E16" s="17">
        <v>0</v>
      </c>
      <c r="F16" s="310">
        <f t="shared" si="1"/>
        <v>11</v>
      </c>
      <c r="G16" s="3">
        <v>95.5</v>
      </c>
      <c r="H16" s="508" t="s">
        <v>312</v>
      </c>
      <c r="I16" s="424"/>
      <c r="J16" s="6"/>
      <c r="L16" s="53" t="s">
        <v>45</v>
      </c>
      <c r="M16" s="65"/>
      <c r="N16" s="65"/>
      <c r="O16" s="65"/>
      <c r="P16" s="65"/>
    </row>
    <row r="17" spans="1:16" ht="18">
      <c r="A17" s="480" t="s">
        <v>193</v>
      </c>
      <c r="B17" s="351" t="s">
        <v>179</v>
      </c>
      <c r="C17" s="3">
        <v>5.71</v>
      </c>
      <c r="D17" s="487">
        <f t="shared" si="2"/>
        <v>16.72504378283713</v>
      </c>
      <c r="E17" s="17">
        <f t="shared" si="0"/>
        <v>159.52890792291223</v>
      </c>
      <c r="F17" s="310">
        <f t="shared" si="1"/>
        <v>5</v>
      </c>
      <c r="G17" s="3">
        <v>95.5</v>
      </c>
      <c r="H17" s="310"/>
      <c r="I17" s="424"/>
      <c r="J17" s="6"/>
      <c r="M17" s="65"/>
      <c r="N17" s="65"/>
      <c r="O17" s="65"/>
      <c r="P17" s="65"/>
    </row>
    <row r="18" spans="1:16" ht="18">
      <c r="A18" s="480" t="s">
        <v>194</v>
      </c>
      <c r="B18" s="351" t="s">
        <v>179</v>
      </c>
      <c r="C18" s="3">
        <v>7.52</v>
      </c>
      <c r="D18" s="487">
        <f t="shared" si="2"/>
        <v>12.699468085106384</v>
      </c>
      <c r="E18" s="17">
        <f t="shared" si="0"/>
        <v>120.77087794432552</v>
      </c>
      <c r="F18" s="310">
        <f t="shared" si="1"/>
        <v>8</v>
      </c>
      <c r="G18" s="3">
        <v>95.5</v>
      </c>
      <c r="H18" s="310"/>
      <c r="I18" s="424"/>
      <c r="J18" s="6"/>
      <c r="M18" s="65"/>
      <c r="N18" s="65"/>
      <c r="O18" s="65"/>
      <c r="P18" s="65"/>
    </row>
    <row r="19" spans="1:16" s="161" customFormat="1" ht="18">
      <c r="A19" s="480" t="s">
        <v>195</v>
      </c>
      <c r="B19" s="351" t="s">
        <v>179</v>
      </c>
      <c r="C19" s="3">
        <v>7.94</v>
      </c>
      <c r="D19" s="487">
        <f t="shared" si="2"/>
        <v>12.027707808564232</v>
      </c>
      <c r="E19" s="17">
        <f t="shared" si="0"/>
        <v>111.77730192719486</v>
      </c>
      <c r="F19" s="310">
        <f t="shared" si="1"/>
        <v>9</v>
      </c>
      <c r="G19" s="3">
        <v>95.5</v>
      </c>
      <c r="H19" s="312"/>
      <c r="I19" s="424"/>
      <c r="J19" s="162"/>
    </row>
    <row r="20" spans="1:16" s="161" customFormat="1" ht="18">
      <c r="A20" s="480" t="s">
        <v>196</v>
      </c>
      <c r="B20" s="351" t="s">
        <v>179</v>
      </c>
      <c r="C20" s="3" t="s">
        <v>250</v>
      </c>
      <c r="D20"/>
      <c r="E20" s="17"/>
      <c r="F20" s="310" t="s">
        <v>45</v>
      </c>
      <c r="G20" s="3">
        <v>42.9</v>
      </c>
      <c r="H20" s="508" t="s">
        <v>311</v>
      </c>
      <c r="J20" s="162"/>
    </row>
    <row r="21" spans="1:16" s="161" customFormat="1" ht="18">
      <c r="A21" s="480" t="s">
        <v>197</v>
      </c>
      <c r="B21" s="351" t="s">
        <v>179</v>
      </c>
      <c r="C21" s="3">
        <v>6.38</v>
      </c>
      <c r="D21" s="487">
        <f t="shared" si="2"/>
        <v>14.968652037617556</v>
      </c>
      <c r="E21" s="17">
        <f t="shared" si="0"/>
        <v>145.18201284796575</v>
      </c>
      <c r="F21" s="310">
        <f t="shared" si="1"/>
        <v>6</v>
      </c>
      <c r="G21" s="3">
        <v>95.5</v>
      </c>
      <c r="H21" s="507"/>
      <c r="I21" s="424"/>
      <c r="J21" s="162"/>
    </row>
    <row r="22" spans="1:16" ht="18">
      <c r="A22" s="480" t="s">
        <v>198</v>
      </c>
      <c r="B22" s="351" t="s">
        <v>179</v>
      </c>
      <c r="C22" s="3">
        <v>7.28</v>
      </c>
      <c r="D22" s="487">
        <f t="shared" si="2"/>
        <v>6.4285714285714279</v>
      </c>
      <c r="E22" s="17">
        <v>0</v>
      </c>
      <c r="F22" s="310">
        <f t="shared" si="1"/>
        <v>11</v>
      </c>
      <c r="G22" s="310">
        <v>46.8</v>
      </c>
      <c r="H22" s="508" t="s">
        <v>313</v>
      </c>
      <c r="I22" s="424"/>
    </row>
    <row r="23" spans="1:16">
      <c r="A23" s="6"/>
      <c r="B23" s="6"/>
      <c r="C23" s="3"/>
      <c r="D23" s="3"/>
      <c r="G23" s="3"/>
      <c r="H23" s="18"/>
    </row>
    <row r="24" spans="1:16">
      <c r="B24" s="321"/>
      <c r="C24" s="3"/>
      <c r="D24" s="3"/>
      <c r="E24" s="488"/>
      <c r="G24" s="3"/>
    </row>
  </sheetData>
  <phoneticPr fontId="23" type="noConversion"/>
  <printOptions gridLines="1"/>
  <pageMargins left="0.75" right="0.75" top="1" bottom="1" header="0.5" footer="0.5"/>
  <pageSetup scale="67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53"/>
  <sheetViews>
    <sheetView workbookViewId="0">
      <selection activeCell="B21" sqref="B21"/>
    </sheetView>
  </sheetViews>
  <sheetFormatPr defaultColWidth="8.88671875" defaultRowHeight="13.2"/>
  <cols>
    <col min="1" max="1" width="40.88671875" customWidth="1"/>
    <col min="2" max="2" width="11" customWidth="1"/>
    <col min="3" max="3" width="21.44140625" style="65" customWidth="1"/>
    <col min="4" max="4" width="20" customWidth="1"/>
    <col min="5" max="5" width="16.88671875" customWidth="1"/>
    <col min="6" max="6" width="16.88671875" style="205" customWidth="1"/>
    <col min="7" max="7" width="16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ht="17.399999999999999">
      <c r="A1" s="7" t="s">
        <v>204</v>
      </c>
      <c r="B1" s="155"/>
      <c r="C1" s="38"/>
      <c r="D1" s="6"/>
      <c r="E1" s="19"/>
      <c r="F1" s="441" t="s">
        <v>140</v>
      </c>
      <c r="G1" s="249"/>
      <c r="H1" s="9"/>
      <c r="I1" s="6"/>
      <c r="J1" s="6"/>
      <c r="K1" s="6"/>
      <c r="L1" s="6"/>
      <c r="M1" s="6"/>
      <c r="N1" s="6"/>
      <c r="O1" s="6"/>
      <c r="P1" s="6"/>
    </row>
    <row r="2" spans="1:16" s="65" customFormat="1">
      <c r="A2" s="38"/>
      <c r="B2" s="169"/>
      <c r="C2" s="17"/>
      <c r="D2" s="9"/>
      <c r="E2" s="19"/>
      <c r="F2" s="441" t="s">
        <v>122</v>
      </c>
      <c r="G2" s="249"/>
      <c r="H2" s="66"/>
      <c r="I2" s="38"/>
      <c r="J2" s="38"/>
      <c r="K2" s="38"/>
      <c r="L2" s="38"/>
      <c r="M2" s="38"/>
      <c r="N2" s="38"/>
      <c r="O2" s="38"/>
      <c r="P2" s="38"/>
    </row>
    <row r="3" spans="1:16">
      <c r="A3" s="10" t="s">
        <v>154</v>
      </c>
      <c r="B3" s="435">
        <v>89</v>
      </c>
      <c r="C3" s="435" t="s">
        <v>164</v>
      </c>
      <c r="D3" s="55"/>
      <c r="E3" s="2" t="s">
        <v>36</v>
      </c>
      <c r="F3" s="2" t="s">
        <v>74</v>
      </c>
      <c r="G3" s="2" t="s">
        <v>75</v>
      </c>
      <c r="H3" s="12"/>
      <c r="I3" s="6"/>
      <c r="J3" s="6"/>
      <c r="K3" s="6"/>
      <c r="L3" s="6"/>
      <c r="M3" s="6"/>
      <c r="N3" s="6"/>
      <c r="O3" s="6"/>
      <c r="P3" s="6"/>
    </row>
    <row r="4" spans="1:16">
      <c r="A4" s="6"/>
      <c r="B4" s="436" t="s">
        <v>51</v>
      </c>
      <c r="C4" s="2" t="s">
        <v>52</v>
      </c>
      <c r="D4" s="23"/>
      <c r="E4" s="434" t="s">
        <v>77</v>
      </c>
      <c r="F4" s="2" t="s">
        <v>9</v>
      </c>
      <c r="G4" s="442" t="s">
        <v>52</v>
      </c>
      <c r="H4" s="23" t="s">
        <v>27</v>
      </c>
      <c r="I4" s="23"/>
      <c r="J4" s="20"/>
      <c r="K4" s="20"/>
      <c r="L4" s="5"/>
      <c r="M4" s="5"/>
      <c r="N4" s="5"/>
      <c r="O4" s="5"/>
      <c r="P4" s="2"/>
    </row>
    <row r="5" spans="1:16" ht="18">
      <c r="A5" s="480" t="s">
        <v>186</v>
      </c>
      <c r="B5" s="438">
        <v>75</v>
      </c>
      <c r="C5" s="437">
        <f>10^(($B$27-B5)/10)*150</f>
        <v>150</v>
      </c>
      <c r="D5" s="57"/>
      <c r="E5" s="440">
        <v>2</v>
      </c>
      <c r="F5" s="441">
        <f>-($E$20*E5)+$E$21</f>
        <v>120</v>
      </c>
      <c r="G5" s="441">
        <f>+C5+F5</f>
        <v>270</v>
      </c>
      <c r="H5" s="58">
        <f>RANK(G5, $G$5:$G$17)</f>
        <v>1</v>
      </c>
      <c r="I5" s="30"/>
      <c r="J5" s="18"/>
      <c r="K5" s="57"/>
      <c r="L5" s="18"/>
      <c r="M5" s="18"/>
      <c r="N5" s="3"/>
    </row>
    <row r="6" spans="1:16" ht="18">
      <c r="A6" s="480" t="s">
        <v>187</v>
      </c>
      <c r="B6" s="439">
        <v>80</v>
      </c>
      <c r="C6" s="437">
        <f t="shared" ref="C6:C16" si="0">10^(($B$27-B6)/10)*150</f>
        <v>47.434164902525694</v>
      </c>
      <c r="D6" s="57"/>
      <c r="E6" s="440">
        <v>4</v>
      </c>
      <c r="F6" s="441">
        <f t="shared" ref="F6:F16" si="1">-($E$20*E6)+$E$21</f>
        <v>60</v>
      </c>
      <c r="G6" s="441">
        <f t="shared" ref="G6:G16" si="2">+C6+F6</f>
        <v>107.43416490252569</v>
      </c>
      <c r="H6" s="58">
        <f t="shared" ref="H6:H17" si="3">RANK(G6, $G$5:$G$17)</f>
        <v>4</v>
      </c>
      <c r="I6" s="30"/>
      <c r="J6" s="18"/>
      <c r="K6" s="57"/>
      <c r="L6" s="18"/>
      <c r="M6" s="18"/>
      <c r="N6" s="3"/>
    </row>
    <row r="7" spans="1:16" ht="18">
      <c r="A7" s="480" t="s">
        <v>188</v>
      </c>
      <c r="B7" s="439">
        <v>79</v>
      </c>
      <c r="C7" s="437">
        <f t="shared" si="0"/>
        <v>59.716075583024583</v>
      </c>
      <c r="D7" s="57"/>
      <c r="E7" s="440">
        <v>1</v>
      </c>
      <c r="F7" s="441">
        <f t="shared" si="1"/>
        <v>150</v>
      </c>
      <c r="G7" s="441">
        <f t="shared" si="2"/>
        <v>209.71607558302458</v>
      </c>
      <c r="H7" s="58">
        <f t="shared" si="3"/>
        <v>2</v>
      </c>
      <c r="I7" s="30"/>
      <c r="J7" s="18"/>
      <c r="K7" s="57"/>
      <c r="L7" s="18"/>
      <c r="M7" s="18"/>
      <c r="N7" s="3"/>
    </row>
    <row r="8" spans="1:16" s="167" customFormat="1" ht="18">
      <c r="A8" s="480" t="s">
        <v>189</v>
      </c>
      <c r="B8" s="439">
        <v>80</v>
      </c>
      <c r="C8" s="437">
        <f t="shared" si="0"/>
        <v>47.434164902525694</v>
      </c>
      <c r="D8" s="57"/>
      <c r="E8" s="440">
        <v>5</v>
      </c>
      <c r="F8" s="441">
        <f t="shared" si="1"/>
        <v>30</v>
      </c>
      <c r="G8" s="441">
        <f t="shared" si="2"/>
        <v>77.434164902525694</v>
      </c>
      <c r="H8" s="58">
        <f t="shared" si="3"/>
        <v>5</v>
      </c>
      <c r="I8" s="253"/>
      <c r="J8" s="260"/>
      <c r="K8" s="57"/>
      <c r="L8" s="260"/>
      <c r="M8" s="260"/>
      <c r="N8" s="240"/>
    </row>
    <row r="9" spans="1:16" s="167" customFormat="1" ht="18">
      <c r="A9" s="480" t="s">
        <v>190</v>
      </c>
      <c r="B9" s="439">
        <v>91</v>
      </c>
      <c r="C9" s="437">
        <v>7.5</v>
      </c>
      <c r="D9" s="57"/>
      <c r="E9" s="440" t="s">
        <v>299</v>
      </c>
      <c r="F9" s="441"/>
      <c r="G9" s="441">
        <f t="shared" si="2"/>
        <v>7.5</v>
      </c>
      <c r="H9" s="58">
        <f t="shared" si="3"/>
        <v>6</v>
      </c>
      <c r="I9" s="253"/>
      <c r="J9" s="260"/>
      <c r="K9" s="57"/>
      <c r="L9" s="260"/>
      <c r="M9" s="260"/>
      <c r="N9" s="240"/>
    </row>
    <row r="10" spans="1:16" ht="18">
      <c r="A10" s="480" t="s">
        <v>191</v>
      </c>
      <c r="B10" s="439">
        <v>82</v>
      </c>
      <c r="C10" s="437">
        <v>7.5</v>
      </c>
      <c r="D10" s="57"/>
      <c r="E10" s="440">
        <v>6</v>
      </c>
      <c r="F10" s="441">
        <f t="shared" si="1"/>
        <v>0</v>
      </c>
      <c r="G10" s="441">
        <f t="shared" si="2"/>
        <v>7.5</v>
      </c>
      <c r="H10" s="58">
        <f t="shared" si="3"/>
        <v>6</v>
      </c>
      <c r="I10" s="30"/>
      <c r="L10" s="18"/>
      <c r="M10" s="18"/>
      <c r="N10" s="3"/>
    </row>
    <row r="11" spans="1:16" ht="18">
      <c r="A11" s="480" t="s">
        <v>192</v>
      </c>
      <c r="B11" s="439">
        <v>86</v>
      </c>
      <c r="C11" s="437">
        <v>7.5</v>
      </c>
      <c r="D11" s="57"/>
      <c r="E11" s="440" t="s">
        <v>299</v>
      </c>
      <c r="F11" s="441"/>
      <c r="G11" s="441">
        <f t="shared" si="2"/>
        <v>7.5</v>
      </c>
      <c r="H11" s="58">
        <f t="shared" si="3"/>
        <v>6</v>
      </c>
      <c r="I11" s="30"/>
      <c r="L11" s="18"/>
      <c r="M11" s="18"/>
      <c r="N11" s="3"/>
    </row>
    <row r="12" spans="1:16" ht="18">
      <c r="A12" s="480" t="s">
        <v>193</v>
      </c>
      <c r="B12" s="439">
        <v>89</v>
      </c>
      <c r="C12" s="437">
        <v>7.5</v>
      </c>
      <c r="D12" s="57"/>
      <c r="E12" s="440" t="s">
        <v>299</v>
      </c>
      <c r="F12" s="441"/>
      <c r="G12" s="441">
        <f t="shared" si="2"/>
        <v>7.5</v>
      </c>
      <c r="H12" s="58">
        <f t="shared" si="3"/>
        <v>6</v>
      </c>
      <c r="I12" s="30"/>
      <c r="J12" s="18"/>
      <c r="K12" s="57"/>
      <c r="L12" s="18"/>
      <c r="M12" s="18"/>
      <c r="N12" s="3"/>
    </row>
    <row r="13" spans="1:16" ht="18">
      <c r="A13" s="480" t="s">
        <v>194</v>
      </c>
      <c r="B13" s="439" t="s">
        <v>255</v>
      </c>
      <c r="C13" s="437" t="s">
        <v>255</v>
      </c>
      <c r="D13" s="57"/>
      <c r="E13" s="440" t="s">
        <v>299</v>
      </c>
      <c r="F13" s="441"/>
      <c r="G13" s="441">
        <v>0</v>
      </c>
      <c r="H13" s="58">
        <f t="shared" si="3"/>
        <v>12</v>
      </c>
      <c r="I13" s="30"/>
      <c r="J13" s="18"/>
      <c r="K13" s="57"/>
      <c r="L13" s="18"/>
      <c r="M13" s="18"/>
      <c r="N13" s="3"/>
    </row>
    <row r="14" spans="1:16" ht="18">
      <c r="A14" s="480" t="s">
        <v>195</v>
      </c>
      <c r="B14" s="439">
        <v>90</v>
      </c>
      <c r="C14" s="437">
        <v>7.5</v>
      </c>
      <c r="D14" s="57"/>
      <c r="E14" s="440" t="s">
        <v>299</v>
      </c>
      <c r="F14" s="441"/>
      <c r="G14" s="441">
        <f t="shared" si="2"/>
        <v>7.5</v>
      </c>
      <c r="H14" s="58">
        <f t="shared" si="3"/>
        <v>6</v>
      </c>
      <c r="I14" s="30"/>
      <c r="J14" s="18"/>
      <c r="K14" s="57"/>
      <c r="L14" s="18"/>
      <c r="M14" s="18"/>
      <c r="N14" s="3"/>
    </row>
    <row r="15" spans="1:16" ht="18">
      <c r="A15" s="480" t="s">
        <v>196</v>
      </c>
      <c r="B15" s="439">
        <v>86</v>
      </c>
      <c r="C15" s="437">
        <v>7.5</v>
      </c>
      <c r="D15" s="57"/>
      <c r="E15" s="440" t="s">
        <v>299</v>
      </c>
      <c r="F15" s="441"/>
      <c r="G15" s="441">
        <f t="shared" si="2"/>
        <v>7.5</v>
      </c>
      <c r="H15" s="58">
        <f t="shared" si="3"/>
        <v>6</v>
      </c>
      <c r="I15" s="30"/>
      <c r="J15" s="18"/>
      <c r="K15" s="57"/>
      <c r="L15" s="18"/>
      <c r="M15" s="18"/>
      <c r="N15" s="3"/>
    </row>
    <row r="16" spans="1:16" s="140" customFormat="1" ht="18">
      <c r="A16" s="480" t="s">
        <v>197</v>
      </c>
      <c r="B16" s="439">
        <v>80</v>
      </c>
      <c r="C16" s="437">
        <f t="shared" si="0"/>
        <v>47.434164902525694</v>
      </c>
      <c r="D16" s="57"/>
      <c r="E16" s="440">
        <v>3</v>
      </c>
      <c r="F16" s="441">
        <f t="shared" si="1"/>
        <v>90</v>
      </c>
      <c r="G16" s="441">
        <f t="shared" si="2"/>
        <v>137.43416490252571</v>
      </c>
      <c r="H16" s="58">
        <f t="shared" si="3"/>
        <v>3</v>
      </c>
      <c r="I16" s="146"/>
      <c r="J16" s="141"/>
      <c r="K16" s="147"/>
      <c r="L16" s="141"/>
      <c r="M16" s="141"/>
      <c r="N16" s="139"/>
    </row>
    <row r="17" spans="1:12" s="140" customFormat="1" ht="18">
      <c r="A17" s="480" t="s">
        <v>198</v>
      </c>
      <c r="B17" s="439" t="s">
        <v>255</v>
      </c>
      <c r="C17" s="437" t="s">
        <v>255</v>
      </c>
      <c r="D17" s="57"/>
      <c r="E17" s="440" t="s">
        <v>299</v>
      </c>
      <c r="F17" s="441"/>
      <c r="G17" s="441">
        <v>0</v>
      </c>
      <c r="H17" s="58">
        <f t="shared" si="3"/>
        <v>12</v>
      </c>
      <c r="I17" s="133"/>
    </row>
    <row r="18" spans="1:12">
      <c r="B18" s="69"/>
      <c r="C18" s="69"/>
      <c r="D18" s="69" t="s">
        <v>156</v>
      </c>
      <c r="E18" s="175">
        <f>MIN(E5:E17)</f>
        <v>1</v>
      </c>
      <c r="F18" s="300"/>
      <c r="G18" s="54"/>
      <c r="H18" s="54"/>
      <c r="I18" s="4"/>
      <c r="J18" s="68"/>
      <c r="K18" s="70"/>
      <c r="L18" s="1"/>
    </row>
    <row r="19" spans="1:12">
      <c r="A19" s="171" t="s">
        <v>163</v>
      </c>
      <c r="B19" s="72">
        <f>MIN(B5,B17)</f>
        <v>75</v>
      </c>
      <c r="C19" s="73"/>
      <c r="D19" s="73" t="s">
        <v>158</v>
      </c>
      <c r="E19" s="175">
        <f>MAX(E5:E17)</f>
        <v>6</v>
      </c>
      <c r="F19" s="297"/>
      <c r="G19" s="73"/>
      <c r="H19" s="74"/>
      <c r="I19" s="4"/>
      <c r="J19" s="1"/>
      <c r="K19" s="1"/>
      <c r="L19" s="1"/>
    </row>
    <row r="20" spans="1:12">
      <c r="A20" s="171" t="s">
        <v>165</v>
      </c>
      <c r="B20" s="346">
        <v>82</v>
      </c>
      <c r="C20" s="73"/>
      <c r="D20" s="73" t="s">
        <v>155</v>
      </c>
      <c r="E20" s="73">
        <f>150/(E19-E18)</f>
        <v>30</v>
      </c>
      <c r="F20" s="297"/>
      <c r="G20" s="73"/>
      <c r="H20" s="74"/>
      <c r="I20" s="4"/>
      <c r="J20" s="1"/>
      <c r="K20" s="1"/>
      <c r="L20" s="1"/>
    </row>
    <row r="21" spans="1:12">
      <c r="A21" s="287"/>
      <c r="B21" s="72"/>
      <c r="C21" s="73"/>
      <c r="D21" s="73" t="s">
        <v>157</v>
      </c>
      <c r="E21" s="73">
        <f>E20*E19</f>
        <v>180</v>
      </c>
      <c r="F21" s="297"/>
      <c r="G21" s="73"/>
      <c r="H21" s="74"/>
      <c r="I21" s="4"/>
      <c r="J21" s="1"/>
      <c r="K21" s="1"/>
      <c r="L21" s="1"/>
    </row>
    <row r="22" spans="1:12">
      <c r="A22" s="330"/>
      <c r="B22" s="72"/>
      <c r="C22" s="73"/>
      <c r="D22" s="73"/>
      <c r="E22" s="73"/>
      <c r="F22" s="297"/>
      <c r="G22" s="73"/>
      <c r="H22" s="74"/>
      <c r="I22" s="4"/>
      <c r="J22" s="1"/>
      <c r="K22" s="1"/>
      <c r="L22" s="1"/>
    </row>
    <row r="23" spans="1:12">
      <c r="A23" s="302"/>
      <c r="B23" s="72"/>
      <c r="C23" s="73"/>
      <c r="D23" s="73"/>
      <c r="E23" s="73"/>
      <c r="F23" s="297"/>
      <c r="G23" s="73"/>
      <c r="H23" s="74"/>
      <c r="I23" s="4"/>
      <c r="J23" s="1"/>
      <c r="K23" s="1"/>
      <c r="L23" s="1"/>
    </row>
    <row r="24" spans="1:12">
      <c r="A24" s="302"/>
      <c r="B24" s="72"/>
      <c r="C24" s="73"/>
      <c r="D24" s="73"/>
      <c r="F24" s="297"/>
      <c r="G24" s="73"/>
      <c r="H24" s="74"/>
      <c r="I24" s="4"/>
      <c r="J24" s="1"/>
      <c r="K24" s="1"/>
      <c r="L24" s="1"/>
    </row>
    <row r="25" spans="1:12">
      <c r="A25" s="302"/>
      <c r="B25" s="331" t="s">
        <v>166</v>
      </c>
      <c r="C25" s="73"/>
      <c r="D25" s="73"/>
      <c r="F25" s="297"/>
      <c r="G25" s="73"/>
      <c r="H25" s="74"/>
      <c r="I25" s="4"/>
      <c r="J25" s="1"/>
      <c r="K25" s="1"/>
      <c r="L25" s="1"/>
    </row>
    <row r="26" spans="1:12">
      <c r="A26" s="71"/>
      <c r="B26" s="329" t="s">
        <v>120</v>
      </c>
      <c r="C26" s="323" t="s">
        <v>52</v>
      </c>
      <c r="D26" s="73"/>
      <c r="E26" s="73"/>
      <c r="F26" s="297"/>
      <c r="G26" s="73"/>
      <c r="H26" s="74"/>
      <c r="I26" s="4"/>
      <c r="J26" s="1"/>
      <c r="K26" s="1"/>
      <c r="L26" s="1"/>
    </row>
    <row r="27" spans="1:12">
      <c r="A27" s="324" t="s">
        <v>159</v>
      </c>
      <c r="B27" s="322">
        <f>B19</f>
        <v>75</v>
      </c>
      <c r="C27" s="226">
        <f>10^(($B$27-B27)/10)*150</f>
        <v>150</v>
      </c>
      <c r="D27" s="333" t="s">
        <v>167</v>
      </c>
      <c r="E27" s="73"/>
      <c r="F27" s="297"/>
      <c r="G27" s="73"/>
      <c r="H27" s="74"/>
      <c r="I27" s="4"/>
      <c r="J27" s="1"/>
      <c r="K27" s="1"/>
      <c r="L27" s="1"/>
    </row>
    <row r="28" spans="1:12">
      <c r="A28" s="71"/>
      <c r="B28" s="322">
        <f>B27+0.5</f>
        <v>75.5</v>
      </c>
      <c r="C28" s="226">
        <f t="shared" ref="C28:C43" si="4">10^(($B$27-B28)/10)*150</f>
        <v>133.68764072006181</v>
      </c>
      <c r="D28" s="73"/>
      <c r="E28" s="73"/>
      <c r="F28" s="297"/>
      <c r="G28" s="73"/>
      <c r="H28" s="74"/>
      <c r="I28" s="4"/>
      <c r="J28" s="1"/>
      <c r="K28" s="1"/>
      <c r="L28" s="1"/>
    </row>
    <row r="29" spans="1:12">
      <c r="A29" s="71"/>
      <c r="B29" s="322">
        <f t="shared" ref="B29:B43" si="5">B28+0.5</f>
        <v>76</v>
      </c>
      <c r="C29" s="226">
        <f t="shared" si="4"/>
        <v>119.14923520864222</v>
      </c>
      <c r="D29" s="73"/>
      <c r="E29" s="73"/>
      <c r="F29" s="297"/>
      <c r="G29" s="73"/>
      <c r="H29" s="74"/>
      <c r="I29" s="4"/>
      <c r="J29" s="1"/>
      <c r="K29" s="1"/>
      <c r="L29" s="1"/>
    </row>
    <row r="30" spans="1:12">
      <c r="A30" s="71"/>
      <c r="B30" s="322">
        <f t="shared" si="5"/>
        <v>76.5</v>
      </c>
      <c r="C30" s="226">
        <f t="shared" si="4"/>
        <v>106.19186765762069</v>
      </c>
      <c r="D30" s="73"/>
      <c r="E30" s="73"/>
      <c r="F30" s="297"/>
      <c r="G30" s="73"/>
      <c r="H30" s="74"/>
      <c r="I30" s="4"/>
      <c r="J30" s="1"/>
      <c r="K30" s="1"/>
      <c r="L30" s="1"/>
    </row>
    <row r="31" spans="1:12">
      <c r="A31" s="71"/>
      <c r="B31" s="322">
        <f t="shared" si="5"/>
        <v>77</v>
      </c>
      <c r="C31" s="226">
        <f t="shared" si="4"/>
        <v>94.643601672028993</v>
      </c>
      <c r="D31" s="73"/>
      <c r="E31" s="73"/>
      <c r="F31" s="297"/>
      <c r="G31" s="73"/>
      <c r="H31" s="74"/>
      <c r="I31" s="4"/>
      <c r="J31" s="1"/>
      <c r="K31" s="1"/>
      <c r="L31" s="1"/>
    </row>
    <row r="32" spans="1:12">
      <c r="A32" s="71"/>
      <c r="B32" s="322">
        <f t="shared" si="5"/>
        <v>77.5</v>
      </c>
      <c r="C32" s="226">
        <f t="shared" si="4"/>
        <v>84.351198778552359</v>
      </c>
      <c r="D32" s="73"/>
      <c r="E32" s="73"/>
      <c r="F32" s="297"/>
      <c r="G32" s="73"/>
      <c r="H32" s="74"/>
      <c r="I32" s="4"/>
      <c r="J32" s="1"/>
      <c r="K32" s="1"/>
      <c r="L32" s="1"/>
    </row>
    <row r="33" spans="1:12">
      <c r="A33" s="71"/>
      <c r="B33" s="322">
        <f t="shared" si="5"/>
        <v>78</v>
      </c>
      <c r="C33" s="226">
        <f t="shared" si="4"/>
        <v>75.178085044090835</v>
      </c>
      <c r="D33" s="170"/>
      <c r="E33" s="73"/>
      <c r="F33" s="301"/>
      <c r="G33" s="171"/>
      <c r="H33" s="74"/>
      <c r="I33" s="4"/>
      <c r="J33" s="1"/>
      <c r="K33" s="1"/>
      <c r="L33" s="1"/>
    </row>
    <row r="34" spans="1:12">
      <c r="A34" s="71"/>
      <c r="B34" s="322">
        <f t="shared" si="5"/>
        <v>78.5</v>
      </c>
      <c r="C34" s="226">
        <f t="shared" si="4"/>
        <v>67.002538822644468</v>
      </c>
      <c r="D34" s="73"/>
      <c r="E34" s="73"/>
      <c r="F34" s="297"/>
      <c r="G34" s="73"/>
      <c r="H34" s="74"/>
      <c r="I34" s="4"/>
      <c r="J34" s="1"/>
      <c r="K34" s="1"/>
      <c r="L34" s="1"/>
    </row>
    <row r="35" spans="1:12">
      <c r="A35" s="1"/>
      <c r="B35" s="322">
        <f t="shared" si="5"/>
        <v>79</v>
      </c>
      <c r="C35" s="226">
        <f t="shared" si="4"/>
        <v>59.716075583024583</v>
      </c>
      <c r="D35" s="1"/>
      <c r="E35" s="1"/>
      <c r="F35" s="298"/>
      <c r="G35" s="1"/>
      <c r="H35" s="1"/>
      <c r="I35" s="4"/>
      <c r="J35" s="1"/>
      <c r="K35" s="1"/>
      <c r="L35" s="1"/>
    </row>
    <row r="36" spans="1:12">
      <c r="A36" s="1"/>
      <c r="B36" s="322">
        <f t="shared" si="5"/>
        <v>79.5</v>
      </c>
      <c r="C36" s="226">
        <f t="shared" si="4"/>
        <v>53.222008385036311</v>
      </c>
      <c r="D36" s="4"/>
      <c r="E36" s="4"/>
      <c r="F36" s="299"/>
      <c r="G36" s="4"/>
      <c r="H36" s="4"/>
      <c r="I36" s="4"/>
      <c r="J36" s="1"/>
      <c r="K36" s="1"/>
      <c r="L36" s="1"/>
    </row>
    <row r="37" spans="1:12">
      <c r="B37" s="322">
        <f t="shared" si="5"/>
        <v>80</v>
      </c>
      <c r="C37" s="226">
        <f t="shared" si="4"/>
        <v>47.434164902525694</v>
      </c>
      <c r="D37" s="4"/>
      <c r="E37" s="4"/>
      <c r="F37" s="299"/>
      <c r="G37" s="4"/>
      <c r="H37" s="4"/>
      <c r="I37" s="4"/>
    </row>
    <row r="38" spans="1:12">
      <c r="B38" s="322">
        <f t="shared" si="5"/>
        <v>80.5</v>
      </c>
      <c r="C38" s="226">
        <f t="shared" si="4"/>
        <v>42.2757439689668</v>
      </c>
      <c r="D38" s="4"/>
      <c r="E38" s="4"/>
      <c r="F38" s="299"/>
      <c r="G38" s="4"/>
      <c r="H38" s="4"/>
      <c r="I38" s="4"/>
    </row>
    <row r="39" spans="1:12">
      <c r="B39" s="322">
        <f t="shared" si="5"/>
        <v>81</v>
      </c>
      <c r="C39" s="226">
        <f t="shared" si="4"/>
        <v>37.678296472643702</v>
      </c>
      <c r="D39" s="4"/>
      <c r="E39" s="4"/>
      <c r="F39" s="299"/>
      <c r="G39" s="4"/>
      <c r="H39" s="4"/>
      <c r="I39" s="4"/>
    </row>
    <row r="40" spans="1:12">
      <c r="B40" s="322">
        <f t="shared" si="5"/>
        <v>81.5</v>
      </c>
      <c r="C40" s="226">
        <f t="shared" si="4"/>
        <v>33.580817078525087</v>
      </c>
      <c r="D40" s="4"/>
      <c r="E40" s="4"/>
      <c r="F40" s="299"/>
      <c r="G40" s="4"/>
      <c r="H40" s="4"/>
      <c r="I40" s="4"/>
    </row>
    <row r="41" spans="1:12">
      <c r="B41" s="322">
        <f t="shared" si="5"/>
        <v>82</v>
      </c>
      <c r="C41" s="226">
        <f t="shared" si="4"/>
        <v>29.928934724533192</v>
      </c>
      <c r="D41" s="4"/>
      <c r="E41" s="4"/>
      <c r="F41" s="299"/>
      <c r="G41" s="4"/>
      <c r="H41" s="4"/>
      <c r="I41" s="4"/>
    </row>
    <row r="42" spans="1:12">
      <c r="B42" s="322">
        <f t="shared" si="5"/>
        <v>82.5</v>
      </c>
      <c r="C42" s="226">
        <f t="shared" si="4"/>
        <v>26.674191150583834</v>
      </c>
      <c r="D42" s="4"/>
      <c r="E42" s="4"/>
      <c r="F42" s="299"/>
      <c r="G42" s="4"/>
      <c r="H42" s="4"/>
      <c r="I42" s="4"/>
    </row>
    <row r="43" spans="1:12">
      <c r="A43" s="311" t="s">
        <v>160</v>
      </c>
      <c r="B43" s="322">
        <f t="shared" si="5"/>
        <v>83</v>
      </c>
      <c r="C43" s="226">
        <f t="shared" si="4"/>
        <v>23.773397886916698</v>
      </c>
      <c r="D43" s="332" t="s">
        <v>168</v>
      </c>
      <c r="E43" s="4"/>
      <c r="F43" s="299"/>
      <c r="G43" s="4"/>
      <c r="H43" s="4"/>
      <c r="I43" s="4"/>
    </row>
    <row r="44" spans="1:12">
      <c r="B44" s="322"/>
      <c r="C44" s="313"/>
      <c r="D44" s="4"/>
      <c r="E44" s="4"/>
      <c r="F44" s="299"/>
      <c r="G44" s="4"/>
      <c r="H44" s="4"/>
      <c r="I44" s="4"/>
    </row>
    <row r="45" spans="1:12">
      <c r="B45" s="322"/>
      <c r="C45" s="313"/>
      <c r="D45" s="4"/>
      <c r="E45" s="4"/>
      <c r="F45" s="299"/>
      <c r="G45" s="4"/>
      <c r="H45" s="4"/>
      <c r="I45" s="4"/>
    </row>
    <row r="46" spans="1:12">
      <c r="B46" s="72"/>
      <c r="C46" s="195"/>
      <c r="D46" s="4"/>
      <c r="E46" s="4"/>
      <c r="F46" s="299"/>
      <c r="G46" s="4"/>
      <c r="H46" s="4"/>
      <c r="I46" s="4"/>
    </row>
    <row r="47" spans="1:12">
      <c r="B47" s="72"/>
      <c r="C47" s="195"/>
      <c r="D47" s="4"/>
      <c r="E47" s="4"/>
      <c r="F47" s="299"/>
      <c r="G47" s="4"/>
      <c r="H47" s="4"/>
      <c r="I47" s="4"/>
    </row>
    <row r="48" spans="1:12">
      <c r="B48" s="72"/>
      <c r="C48" s="195"/>
      <c r="D48" s="4"/>
      <c r="E48" s="4"/>
      <c r="F48" s="299"/>
      <c r="G48" s="4"/>
      <c r="H48" s="4"/>
      <c r="I48" s="4"/>
    </row>
    <row r="49" spans="2:9">
      <c r="B49" s="72"/>
      <c r="C49" s="195"/>
      <c r="D49" s="4"/>
      <c r="E49" s="4"/>
      <c r="F49" s="299"/>
      <c r="G49" s="4"/>
      <c r="H49" s="4"/>
      <c r="I49" s="4"/>
    </row>
    <row r="50" spans="2:9">
      <c r="B50" s="72"/>
      <c r="C50" s="195"/>
      <c r="D50" s="4"/>
      <c r="E50" s="4"/>
      <c r="F50" s="299"/>
      <c r="G50" s="4"/>
      <c r="H50" s="4"/>
      <c r="I50" s="4"/>
    </row>
    <row r="51" spans="2:9">
      <c r="B51" s="72"/>
      <c r="C51" s="195"/>
      <c r="D51" s="4"/>
      <c r="E51" s="4"/>
      <c r="F51" s="299"/>
      <c r="G51" s="4"/>
      <c r="H51" s="4"/>
      <c r="I51" s="4"/>
    </row>
    <row r="52" spans="2:9">
      <c r="B52" s="72"/>
    </row>
    <row r="53" spans="2:9">
      <c r="B53" s="72"/>
    </row>
  </sheetData>
  <phoneticPr fontId="23" type="noConversion"/>
  <printOptions gridLines="1"/>
  <pageMargins left="0.75" right="0.75" top="0.5" bottom="0.5" header="0.5" footer="0.5"/>
  <pageSetup scale="79"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M18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M6" sqref="AM6"/>
    </sheetView>
  </sheetViews>
  <sheetFormatPr defaultColWidth="8.88671875" defaultRowHeight="13.2"/>
  <cols>
    <col min="1" max="1" width="28.6640625" customWidth="1"/>
    <col min="2" max="2" width="5.6640625" style="3" customWidth="1"/>
    <col min="3" max="18" width="5.6640625" customWidth="1"/>
    <col min="19" max="19" width="6.109375" customWidth="1"/>
    <col min="20" max="36" width="5.6640625" customWidth="1"/>
  </cols>
  <sheetData>
    <row r="1" spans="1:39" ht="17.399999999999999">
      <c r="A1" s="45" t="s">
        <v>205</v>
      </c>
      <c r="B1" s="42"/>
      <c r="C1" s="31"/>
      <c r="D1" s="31"/>
      <c r="E1" s="31"/>
      <c r="F1" s="23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205"/>
      <c r="AL1" s="205"/>
    </row>
    <row r="2" spans="1:39">
      <c r="B2" s="227" t="s">
        <v>264</v>
      </c>
      <c r="C2" s="227" t="s">
        <v>284</v>
      </c>
      <c r="D2" s="227" t="s">
        <v>266</v>
      </c>
      <c r="E2" s="227" t="s">
        <v>267</v>
      </c>
      <c r="F2" s="227" t="s">
        <v>270</v>
      </c>
      <c r="G2" s="227" t="s">
        <v>268</v>
      </c>
      <c r="H2" s="227" t="s">
        <v>269</v>
      </c>
      <c r="I2" s="227" t="s">
        <v>271</v>
      </c>
      <c r="J2" s="227" t="s">
        <v>272</v>
      </c>
      <c r="K2" s="227" t="s">
        <v>273</v>
      </c>
      <c r="L2" s="227" t="s">
        <v>274</v>
      </c>
      <c r="M2" s="227" t="s">
        <v>275</v>
      </c>
      <c r="N2" s="227" t="s">
        <v>276</v>
      </c>
      <c r="O2" s="227" t="s">
        <v>277</v>
      </c>
      <c r="P2" s="227" t="s">
        <v>278</v>
      </c>
      <c r="Q2" s="227" t="s">
        <v>279</v>
      </c>
      <c r="R2" s="227" t="s">
        <v>280</v>
      </c>
      <c r="S2" s="227" t="s">
        <v>281</v>
      </c>
      <c r="T2" s="227" t="s">
        <v>282</v>
      </c>
      <c r="U2" s="227" t="s">
        <v>283</v>
      </c>
      <c r="V2" s="227" t="s">
        <v>265</v>
      </c>
      <c r="W2" s="227" t="s">
        <v>285</v>
      </c>
      <c r="X2" s="227" t="s">
        <v>281</v>
      </c>
      <c r="Y2" s="227" t="s">
        <v>286</v>
      </c>
      <c r="Z2" s="227" t="s">
        <v>287</v>
      </c>
      <c r="AA2" s="227" t="s">
        <v>288</v>
      </c>
      <c r="AB2" s="227" t="s">
        <v>289</v>
      </c>
      <c r="AC2" s="490" t="s">
        <v>291</v>
      </c>
      <c r="AD2" s="227" t="s">
        <v>292</v>
      </c>
      <c r="AE2" s="227" t="s">
        <v>293</v>
      </c>
      <c r="AF2" s="227" t="s">
        <v>294</v>
      </c>
      <c r="AG2" s="227" t="s">
        <v>295</v>
      </c>
      <c r="AH2" s="227" t="s">
        <v>296</v>
      </c>
      <c r="AI2" s="227"/>
      <c r="AJ2" s="227"/>
      <c r="AK2" s="205"/>
      <c r="AL2" s="205"/>
    </row>
    <row r="3" spans="1:39" s="65" customFormat="1">
      <c r="A3" s="165"/>
      <c r="B3" s="334">
        <v>1</v>
      </c>
      <c r="C3" s="334">
        <v>2</v>
      </c>
      <c r="D3" s="334">
        <v>3</v>
      </c>
      <c r="E3" s="334">
        <v>4</v>
      </c>
      <c r="F3" s="334">
        <v>5</v>
      </c>
      <c r="G3" s="334">
        <v>6</v>
      </c>
      <c r="H3" s="334">
        <v>7</v>
      </c>
      <c r="I3" s="334">
        <v>8</v>
      </c>
      <c r="J3" s="334">
        <v>9</v>
      </c>
      <c r="K3" s="334">
        <v>10</v>
      </c>
      <c r="L3" s="334">
        <v>11</v>
      </c>
      <c r="M3" s="334">
        <v>12</v>
      </c>
      <c r="N3" s="334">
        <v>13</v>
      </c>
      <c r="O3" s="334">
        <v>14</v>
      </c>
      <c r="P3" s="334">
        <v>15</v>
      </c>
      <c r="Q3" s="334">
        <v>16</v>
      </c>
      <c r="R3" s="334">
        <v>17</v>
      </c>
      <c r="S3" s="334">
        <v>18</v>
      </c>
      <c r="T3" s="334">
        <v>19</v>
      </c>
      <c r="U3" s="334">
        <v>20</v>
      </c>
      <c r="V3" s="334">
        <v>21</v>
      </c>
      <c r="W3" s="334">
        <v>22</v>
      </c>
      <c r="X3" s="334">
        <v>23</v>
      </c>
      <c r="Y3" s="334">
        <v>24</v>
      </c>
      <c r="Z3" s="334">
        <v>25</v>
      </c>
      <c r="AA3" s="334">
        <v>26</v>
      </c>
      <c r="AB3" s="334">
        <v>27</v>
      </c>
      <c r="AC3" s="334">
        <v>28</v>
      </c>
      <c r="AD3" s="334">
        <v>29</v>
      </c>
      <c r="AE3" s="334">
        <v>30</v>
      </c>
      <c r="AF3" s="334">
        <v>31</v>
      </c>
      <c r="AG3" s="334">
        <v>32</v>
      </c>
      <c r="AH3" s="334">
        <v>33</v>
      </c>
      <c r="AI3" s="334">
        <v>34</v>
      </c>
      <c r="AJ3" s="334">
        <v>35</v>
      </c>
      <c r="AK3" s="189" t="s">
        <v>72</v>
      </c>
      <c r="AL3" s="189" t="s">
        <v>52</v>
      </c>
      <c r="AM3" s="166" t="s">
        <v>27</v>
      </c>
    </row>
    <row r="4" spans="1:39" s="65" customFormat="1" ht="18">
      <c r="A4" s="481" t="s">
        <v>186</v>
      </c>
      <c r="B4" s="392">
        <v>95</v>
      </c>
      <c r="C4" s="335">
        <v>67</v>
      </c>
      <c r="D4" s="335">
        <v>70</v>
      </c>
      <c r="E4" s="335">
        <v>75</v>
      </c>
      <c r="F4" s="335">
        <v>90</v>
      </c>
      <c r="G4" s="335">
        <v>94</v>
      </c>
      <c r="H4" s="335">
        <v>77</v>
      </c>
      <c r="I4" s="335">
        <v>57</v>
      </c>
      <c r="J4" s="335">
        <v>63.5</v>
      </c>
      <c r="K4" s="335">
        <v>67.5</v>
      </c>
      <c r="L4" s="335">
        <v>75</v>
      </c>
      <c r="M4" s="335">
        <v>79</v>
      </c>
      <c r="N4" s="335">
        <v>72.5</v>
      </c>
      <c r="O4" s="335">
        <v>60</v>
      </c>
      <c r="P4" s="335">
        <v>62.5</v>
      </c>
      <c r="Q4" s="336">
        <v>75</v>
      </c>
      <c r="R4" s="337">
        <v>63</v>
      </c>
      <c r="S4" s="337">
        <v>67</v>
      </c>
      <c r="T4" s="337">
        <v>80</v>
      </c>
      <c r="U4" s="337"/>
      <c r="V4" s="335">
        <v>75</v>
      </c>
      <c r="W4" s="337"/>
      <c r="X4" s="337"/>
      <c r="Y4" s="337">
        <v>67</v>
      </c>
      <c r="Z4" s="337">
        <v>58</v>
      </c>
      <c r="AA4" s="337">
        <v>73</v>
      </c>
      <c r="AB4" s="337">
        <v>66</v>
      </c>
      <c r="AC4" s="337">
        <v>56</v>
      </c>
      <c r="AD4" s="337">
        <v>57.5</v>
      </c>
      <c r="AE4" s="337">
        <v>82</v>
      </c>
      <c r="AF4" s="337">
        <v>77</v>
      </c>
      <c r="AG4" s="337"/>
      <c r="AH4" s="337">
        <v>62.5</v>
      </c>
      <c r="AI4" s="337"/>
      <c r="AJ4" s="337"/>
      <c r="AK4" s="325">
        <f t="shared" ref="AK4:AK16" si="0">AVERAGE(B4:AJ4)</f>
        <v>71.172413793103445</v>
      </c>
      <c r="AL4" s="325">
        <f>IF(AK4&lt;5,5,AK4)</f>
        <v>71.172413793103445</v>
      </c>
      <c r="AM4" s="188">
        <f t="shared" ref="AM4:AM15" si="1">RANK(AL4,$AL$4:$AL$16)</f>
        <v>5</v>
      </c>
    </row>
    <row r="5" spans="1:39" s="65" customFormat="1" ht="18">
      <c r="A5" s="481" t="s">
        <v>187</v>
      </c>
      <c r="B5" s="428">
        <v>97.5</v>
      </c>
      <c r="C5" s="335">
        <v>82</v>
      </c>
      <c r="D5" s="335">
        <v>75</v>
      </c>
      <c r="E5" s="335">
        <v>100</v>
      </c>
      <c r="F5" s="335">
        <v>90</v>
      </c>
      <c r="G5" s="335">
        <v>98</v>
      </c>
      <c r="H5" s="335">
        <v>80</v>
      </c>
      <c r="I5" s="335">
        <v>52</v>
      </c>
      <c r="J5" s="335">
        <v>61</v>
      </c>
      <c r="K5" s="335">
        <v>64</v>
      </c>
      <c r="L5" s="335">
        <v>72</v>
      </c>
      <c r="M5" s="335">
        <v>87.5</v>
      </c>
      <c r="N5" s="335">
        <v>78</v>
      </c>
      <c r="O5" s="335">
        <v>87.5</v>
      </c>
      <c r="P5" s="335">
        <v>90</v>
      </c>
      <c r="Q5" s="336">
        <v>72.5</v>
      </c>
      <c r="R5" s="337">
        <v>84</v>
      </c>
      <c r="S5" s="337">
        <v>83</v>
      </c>
      <c r="T5" s="337">
        <v>81</v>
      </c>
      <c r="U5" s="337">
        <v>80</v>
      </c>
      <c r="V5" s="335">
        <v>82.5</v>
      </c>
      <c r="W5" s="337"/>
      <c r="X5" s="337"/>
      <c r="Y5" s="337">
        <v>84</v>
      </c>
      <c r="Z5" s="337">
        <v>64</v>
      </c>
      <c r="AA5" s="337">
        <v>66</v>
      </c>
      <c r="AB5" s="337">
        <v>71</v>
      </c>
      <c r="AC5" s="337">
        <v>78</v>
      </c>
      <c r="AD5" s="337">
        <v>82.5</v>
      </c>
      <c r="AE5" s="337">
        <v>75</v>
      </c>
      <c r="AF5" s="337">
        <v>81</v>
      </c>
      <c r="AG5" s="337"/>
      <c r="AH5" s="337">
        <v>87.5</v>
      </c>
      <c r="AI5" s="337"/>
      <c r="AJ5" s="337"/>
      <c r="AK5" s="325">
        <f t="shared" si="0"/>
        <v>79.55</v>
      </c>
      <c r="AL5" s="325">
        <f>IF(AK5&lt;5,5,AK5)</f>
        <v>79.55</v>
      </c>
      <c r="AM5" s="188">
        <f t="shared" si="1"/>
        <v>1</v>
      </c>
    </row>
    <row r="6" spans="1:39" s="167" customFormat="1" ht="36">
      <c r="A6" s="481" t="s">
        <v>188</v>
      </c>
      <c r="B6" s="428">
        <v>95</v>
      </c>
      <c r="C6" s="335">
        <v>75</v>
      </c>
      <c r="D6" s="335">
        <v>75</v>
      </c>
      <c r="E6" s="335">
        <v>82.5</v>
      </c>
      <c r="F6" s="335">
        <v>85</v>
      </c>
      <c r="G6" s="335">
        <v>94</v>
      </c>
      <c r="H6" s="335">
        <v>77</v>
      </c>
      <c r="I6" s="335">
        <v>63</v>
      </c>
      <c r="J6" s="335">
        <v>55.5</v>
      </c>
      <c r="K6" s="335">
        <v>77</v>
      </c>
      <c r="L6" s="335">
        <v>83</v>
      </c>
      <c r="M6" s="335">
        <v>90</v>
      </c>
      <c r="N6" s="335">
        <v>78</v>
      </c>
      <c r="O6" s="335">
        <v>72.5</v>
      </c>
      <c r="P6" s="335">
        <v>87.5</v>
      </c>
      <c r="Q6" s="336">
        <v>77.5</v>
      </c>
      <c r="R6" s="337">
        <v>87.5</v>
      </c>
      <c r="S6" s="337">
        <v>66</v>
      </c>
      <c r="T6" s="337">
        <v>88</v>
      </c>
      <c r="U6" s="337">
        <v>80</v>
      </c>
      <c r="V6" s="335">
        <v>80</v>
      </c>
      <c r="W6" s="337">
        <v>67.5</v>
      </c>
      <c r="X6" s="337">
        <v>77.5</v>
      </c>
      <c r="Y6" s="337">
        <v>74</v>
      </c>
      <c r="Z6" s="337">
        <v>53.5</v>
      </c>
      <c r="AA6" s="337">
        <v>72.5</v>
      </c>
      <c r="AB6" s="337">
        <v>65</v>
      </c>
      <c r="AC6" s="337">
        <v>73</v>
      </c>
      <c r="AD6" s="337">
        <v>67.5</v>
      </c>
      <c r="AE6" s="337">
        <v>80.5</v>
      </c>
      <c r="AF6" s="337">
        <v>78</v>
      </c>
      <c r="AG6" s="337"/>
      <c r="AH6" s="337">
        <v>67.5</v>
      </c>
      <c r="AI6" s="337"/>
      <c r="AJ6" s="337"/>
      <c r="AK6" s="325">
        <f t="shared" si="0"/>
        <v>76.421875</v>
      </c>
      <c r="AL6" s="325">
        <f t="shared" ref="AL6:AL16" si="2">IF(AK6&lt;5,5,AK6)</f>
        <v>76.421875</v>
      </c>
      <c r="AM6" s="227">
        <f t="shared" si="1"/>
        <v>3</v>
      </c>
    </row>
    <row r="7" spans="1:39" s="65" customFormat="1" ht="36">
      <c r="A7" s="481" t="s">
        <v>189</v>
      </c>
      <c r="B7" s="428">
        <v>87.5</v>
      </c>
      <c r="C7" s="337">
        <v>78</v>
      </c>
      <c r="D7" s="337">
        <v>70</v>
      </c>
      <c r="E7" s="336">
        <v>75</v>
      </c>
      <c r="F7" s="337">
        <v>65</v>
      </c>
      <c r="G7" s="336">
        <v>88</v>
      </c>
      <c r="H7" s="337">
        <v>71</v>
      </c>
      <c r="I7" s="337">
        <v>46</v>
      </c>
      <c r="J7" s="336">
        <v>51</v>
      </c>
      <c r="K7" s="336">
        <v>57</v>
      </c>
      <c r="L7" s="336">
        <v>72</v>
      </c>
      <c r="M7" s="336">
        <v>75</v>
      </c>
      <c r="N7" s="337">
        <v>70</v>
      </c>
      <c r="O7" s="335">
        <v>65</v>
      </c>
      <c r="P7" s="335">
        <v>67.5</v>
      </c>
      <c r="Q7" s="336">
        <v>70</v>
      </c>
      <c r="R7" s="337">
        <v>67</v>
      </c>
      <c r="S7" s="337">
        <v>59</v>
      </c>
      <c r="T7" s="337">
        <v>72</v>
      </c>
      <c r="U7" s="337">
        <v>65</v>
      </c>
      <c r="V7" s="337">
        <v>35</v>
      </c>
      <c r="W7" s="337">
        <v>62.5</v>
      </c>
      <c r="X7" s="337">
        <v>70</v>
      </c>
      <c r="Y7" s="337">
        <v>56</v>
      </c>
      <c r="Z7" s="337">
        <v>34</v>
      </c>
      <c r="AA7" s="337">
        <v>66</v>
      </c>
      <c r="AB7" s="337">
        <v>50</v>
      </c>
      <c r="AC7" s="337">
        <v>48</v>
      </c>
      <c r="AD7" s="337">
        <v>65</v>
      </c>
      <c r="AE7" s="337">
        <v>65</v>
      </c>
      <c r="AF7" s="337">
        <v>72</v>
      </c>
      <c r="AG7" s="337"/>
      <c r="AH7" s="337">
        <v>67.5</v>
      </c>
      <c r="AI7" s="337"/>
      <c r="AJ7" s="337"/>
      <c r="AK7" s="325">
        <f t="shared" si="0"/>
        <v>64.4375</v>
      </c>
      <c r="AL7" s="325">
        <f t="shared" si="2"/>
        <v>64.4375</v>
      </c>
      <c r="AM7" s="227">
        <f t="shared" si="1"/>
        <v>7</v>
      </c>
    </row>
    <row r="8" spans="1:39" s="65" customFormat="1" ht="36">
      <c r="A8" s="481" t="s">
        <v>190</v>
      </c>
      <c r="B8" s="428">
        <v>87.5</v>
      </c>
      <c r="C8" s="337">
        <v>65</v>
      </c>
      <c r="D8" s="337">
        <v>57.5</v>
      </c>
      <c r="E8" s="336">
        <v>97.5</v>
      </c>
      <c r="F8" s="337">
        <v>75</v>
      </c>
      <c r="G8" s="336">
        <v>84</v>
      </c>
      <c r="H8" s="337">
        <v>80</v>
      </c>
      <c r="I8" s="337">
        <v>56.5</v>
      </c>
      <c r="J8" s="336">
        <v>48</v>
      </c>
      <c r="K8" s="336">
        <v>50</v>
      </c>
      <c r="L8" s="336">
        <v>70</v>
      </c>
      <c r="M8" s="336">
        <v>75</v>
      </c>
      <c r="N8" s="337">
        <v>70.5</v>
      </c>
      <c r="O8" s="337">
        <v>70</v>
      </c>
      <c r="P8" s="337">
        <v>82.5</v>
      </c>
      <c r="Q8" s="336">
        <v>77.5</v>
      </c>
      <c r="R8" s="337">
        <v>71.5</v>
      </c>
      <c r="S8" s="337">
        <v>65</v>
      </c>
      <c r="T8" s="337">
        <v>72</v>
      </c>
      <c r="U8" s="337">
        <v>72.5</v>
      </c>
      <c r="V8" s="337">
        <v>67.5</v>
      </c>
      <c r="W8" s="337">
        <v>67.5</v>
      </c>
      <c r="X8" s="337">
        <v>77.5</v>
      </c>
      <c r="Y8" s="337">
        <v>51</v>
      </c>
      <c r="Z8" s="337">
        <v>55</v>
      </c>
      <c r="AA8" s="337">
        <v>74</v>
      </c>
      <c r="AB8" s="337">
        <v>63</v>
      </c>
      <c r="AC8" s="337">
        <v>69</v>
      </c>
      <c r="AD8" s="337">
        <v>65</v>
      </c>
      <c r="AE8" s="337">
        <v>64</v>
      </c>
      <c r="AF8" s="337">
        <v>73</v>
      </c>
      <c r="AG8" s="337"/>
      <c r="AH8" s="337">
        <v>70</v>
      </c>
      <c r="AI8" s="337"/>
      <c r="AJ8" s="337"/>
      <c r="AK8" s="325">
        <f t="shared" si="0"/>
        <v>69.5</v>
      </c>
      <c r="AL8" s="325">
        <f t="shared" si="2"/>
        <v>69.5</v>
      </c>
      <c r="AM8" s="227">
        <f t="shared" si="1"/>
        <v>6</v>
      </c>
    </row>
    <row r="9" spans="1:39" s="271" customFormat="1" ht="36">
      <c r="A9" s="481" t="s">
        <v>191</v>
      </c>
      <c r="B9" s="428">
        <v>100</v>
      </c>
      <c r="C9" s="337">
        <v>76</v>
      </c>
      <c r="D9" s="337">
        <v>77.5</v>
      </c>
      <c r="E9" s="336">
        <v>82.5</v>
      </c>
      <c r="F9" s="337">
        <v>85</v>
      </c>
      <c r="G9" s="336">
        <v>94</v>
      </c>
      <c r="H9" s="270">
        <v>82</v>
      </c>
      <c r="I9" s="337">
        <v>65</v>
      </c>
      <c r="J9" s="336">
        <v>68</v>
      </c>
      <c r="K9" s="336">
        <v>62</v>
      </c>
      <c r="L9" s="336">
        <v>79</v>
      </c>
      <c r="M9" s="336">
        <v>82.5</v>
      </c>
      <c r="N9" s="337">
        <v>74</v>
      </c>
      <c r="O9" s="337">
        <v>77.5</v>
      </c>
      <c r="P9" s="337">
        <v>82.5</v>
      </c>
      <c r="Q9" s="336">
        <v>77.5</v>
      </c>
      <c r="R9" s="337">
        <v>84.5</v>
      </c>
      <c r="S9" s="337">
        <v>66</v>
      </c>
      <c r="T9" s="337">
        <v>86</v>
      </c>
      <c r="U9" s="337">
        <v>65</v>
      </c>
      <c r="V9" s="337">
        <v>75</v>
      </c>
      <c r="W9" s="337">
        <v>80</v>
      </c>
      <c r="X9" s="337">
        <v>80</v>
      </c>
      <c r="Y9" s="337">
        <v>87.5</v>
      </c>
      <c r="Z9" s="337">
        <v>63</v>
      </c>
      <c r="AA9" s="337">
        <v>75</v>
      </c>
      <c r="AB9" s="337">
        <v>69</v>
      </c>
      <c r="AC9" s="337">
        <v>80</v>
      </c>
      <c r="AD9" s="337">
        <v>72.5</v>
      </c>
      <c r="AE9" s="337">
        <v>78</v>
      </c>
      <c r="AF9" s="337">
        <v>82</v>
      </c>
      <c r="AG9" s="337"/>
      <c r="AH9" s="337">
        <v>72.5</v>
      </c>
      <c r="AI9" s="337"/>
      <c r="AJ9" s="337"/>
      <c r="AK9" s="325">
        <f t="shared" si="0"/>
        <v>77.53125</v>
      </c>
      <c r="AL9" s="325">
        <f t="shared" si="2"/>
        <v>77.53125</v>
      </c>
      <c r="AM9" s="227">
        <f t="shared" si="1"/>
        <v>2</v>
      </c>
    </row>
    <row r="10" spans="1:39" s="65" customFormat="1" ht="18.75" customHeight="1">
      <c r="A10" s="481" t="s">
        <v>192</v>
      </c>
      <c r="B10" s="428">
        <v>67.5</v>
      </c>
      <c r="C10" s="337">
        <v>64</v>
      </c>
      <c r="D10" s="337">
        <v>60</v>
      </c>
      <c r="E10" s="337">
        <v>90</v>
      </c>
      <c r="F10" s="337">
        <v>77.5</v>
      </c>
      <c r="G10" s="337">
        <v>82</v>
      </c>
      <c r="H10" s="337">
        <v>73</v>
      </c>
      <c r="I10" s="337">
        <v>50</v>
      </c>
      <c r="J10" s="337">
        <v>52</v>
      </c>
      <c r="K10" s="337">
        <v>56.5</v>
      </c>
      <c r="L10" s="337">
        <v>79</v>
      </c>
      <c r="M10" s="337">
        <v>77.5</v>
      </c>
      <c r="N10" s="337">
        <v>65</v>
      </c>
      <c r="O10" s="337">
        <v>65</v>
      </c>
      <c r="P10" s="337">
        <v>80</v>
      </c>
      <c r="Q10" s="270">
        <v>49</v>
      </c>
      <c r="R10" s="337">
        <v>57.5</v>
      </c>
      <c r="S10" s="337">
        <v>67.5</v>
      </c>
      <c r="T10" s="337">
        <v>62</v>
      </c>
      <c r="U10" s="337">
        <v>35</v>
      </c>
      <c r="V10" s="337">
        <v>65</v>
      </c>
      <c r="W10" s="337">
        <v>72.5</v>
      </c>
      <c r="X10" s="337">
        <v>60</v>
      </c>
      <c r="Y10" s="337">
        <v>57.5</v>
      </c>
      <c r="Z10" s="337">
        <v>52.5</v>
      </c>
      <c r="AA10" s="337"/>
      <c r="AB10" s="337">
        <v>56</v>
      </c>
      <c r="AC10" s="337">
        <v>68</v>
      </c>
      <c r="AD10" s="337"/>
      <c r="AE10" s="337"/>
      <c r="AF10" s="337">
        <v>69</v>
      </c>
      <c r="AG10" s="337">
        <v>46</v>
      </c>
      <c r="AH10" s="337">
        <v>60</v>
      </c>
      <c r="AI10" s="337"/>
      <c r="AJ10" s="337"/>
      <c r="AK10" s="325">
        <f t="shared" si="0"/>
        <v>63.883333333333333</v>
      </c>
      <c r="AL10" s="325">
        <f t="shared" si="2"/>
        <v>63.883333333333333</v>
      </c>
      <c r="AM10" s="188">
        <f t="shared" si="1"/>
        <v>8</v>
      </c>
    </row>
    <row r="11" spans="1:39" s="65" customFormat="1" ht="18">
      <c r="A11" s="481" t="s">
        <v>193</v>
      </c>
      <c r="B11" s="270">
        <v>72.5</v>
      </c>
      <c r="C11" s="337">
        <v>63</v>
      </c>
      <c r="D11" s="337">
        <v>47.5</v>
      </c>
      <c r="E11" s="337">
        <v>42.5</v>
      </c>
      <c r="F11" s="337">
        <v>62.5</v>
      </c>
      <c r="G11" s="337">
        <v>95.5</v>
      </c>
      <c r="H11" s="337">
        <v>74</v>
      </c>
      <c r="I11" s="337">
        <v>48</v>
      </c>
      <c r="J11" s="337">
        <v>55</v>
      </c>
      <c r="K11" s="337">
        <v>65</v>
      </c>
      <c r="L11" s="337">
        <v>75</v>
      </c>
      <c r="M11" s="337">
        <v>87.5</v>
      </c>
      <c r="N11" s="337">
        <v>61</v>
      </c>
      <c r="O11" s="337">
        <v>52.5</v>
      </c>
      <c r="P11" s="337">
        <v>67.5</v>
      </c>
      <c r="Q11" s="270">
        <v>77</v>
      </c>
      <c r="R11" s="337">
        <v>58</v>
      </c>
      <c r="S11" s="337">
        <v>67.5</v>
      </c>
      <c r="T11" s="337">
        <v>58</v>
      </c>
      <c r="U11" s="337">
        <v>45</v>
      </c>
      <c r="V11" s="337">
        <v>67.5</v>
      </c>
      <c r="W11" s="337">
        <v>72.5</v>
      </c>
      <c r="X11" s="337">
        <v>51</v>
      </c>
      <c r="Y11" s="337">
        <v>62.5</v>
      </c>
      <c r="Z11" s="337">
        <v>46</v>
      </c>
      <c r="AA11" s="337"/>
      <c r="AB11" s="337">
        <v>61</v>
      </c>
      <c r="AC11" s="337">
        <v>66</v>
      </c>
      <c r="AD11" s="337"/>
      <c r="AE11" s="337"/>
      <c r="AF11" s="337">
        <v>75</v>
      </c>
      <c r="AG11" s="337">
        <v>56</v>
      </c>
      <c r="AH11" s="337">
        <v>60</v>
      </c>
      <c r="AI11" s="337"/>
      <c r="AJ11" s="337"/>
      <c r="AK11" s="325">
        <f t="shared" si="0"/>
        <v>63.06666666666667</v>
      </c>
      <c r="AL11" s="325">
        <f t="shared" si="2"/>
        <v>63.06666666666667</v>
      </c>
      <c r="AM11" s="188">
        <f t="shared" si="1"/>
        <v>9</v>
      </c>
    </row>
    <row r="12" spans="1:39" s="271" customFormat="1" ht="18">
      <c r="A12" s="481" t="s">
        <v>194</v>
      </c>
      <c r="B12" s="270">
        <v>77.5</v>
      </c>
      <c r="C12" s="337">
        <v>62</v>
      </c>
      <c r="D12" s="337">
        <v>52.5</v>
      </c>
      <c r="E12" s="337">
        <v>55</v>
      </c>
      <c r="F12" s="337">
        <v>65</v>
      </c>
      <c r="G12" s="337">
        <v>88</v>
      </c>
      <c r="H12" s="337">
        <v>71</v>
      </c>
      <c r="I12" s="337">
        <v>51</v>
      </c>
      <c r="J12" s="337">
        <v>42</v>
      </c>
      <c r="K12" s="337">
        <v>37</v>
      </c>
      <c r="L12" s="337">
        <v>50</v>
      </c>
      <c r="M12" s="337">
        <v>67.5</v>
      </c>
      <c r="N12" s="337">
        <v>43.5</v>
      </c>
      <c r="O12" s="337">
        <v>67.5</v>
      </c>
      <c r="P12" s="337">
        <v>80</v>
      </c>
      <c r="Q12" s="270">
        <v>65</v>
      </c>
      <c r="R12" s="337">
        <v>54</v>
      </c>
      <c r="S12" s="337"/>
      <c r="T12" s="337">
        <v>72</v>
      </c>
      <c r="U12" s="337">
        <v>30</v>
      </c>
      <c r="V12" s="337">
        <v>70</v>
      </c>
      <c r="W12" s="337"/>
      <c r="X12" s="337">
        <v>56</v>
      </c>
      <c r="Y12" s="337">
        <v>70</v>
      </c>
      <c r="Z12" s="337">
        <v>38</v>
      </c>
      <c r="AA12" s="337"/>
      <c r="AB12" s="337">
        <v>56</v>
      </c>
      <c r="AC12" s="337">
        <v>55</v>
      </c>
      <c r="AD12" s="337">
        <v>35</v>
      </c>
      <c r="AE12" s="337"/>
      <c r="AF12" s="337">
        <v>77</v>
      </c>
      <c r="AG12" s="337">
        <v>48</v>
      </c>
      <c r="AH12" s="337">
        <v>72.5</v>
      </c>
      <c r="AI12" s="337"/>
      <c r="AJ12" s="337"/>
      <c r="AK12" s="325">
        <f t="shared" si="0"/>
        <v>58.896551724137929</v>
      </c>
      <c r="AL12" s="325">
        <f t="shared" si="2"/>
        <v>58.896551724137929</v>
      </c>
      <c r="AM12" s="188">
        <f t="shared" si="1"/>
        <v>12</v>
      </c>
    </row>
    <row r="13" spans="1:39" s="65" customFormat="1" ht="18">
      <c r="A13" s="481" t="s">
        <v>195</v>
      </c>
      <c r="B13" s="270">
        <v>77.5</v>
      </c>
      <c r="C13" s="337">
        <v>58</v>
      </c>
      <c r="D13" s="337">
        <v>55</v>
      </c>
      <c r="E13" s="337">
        <v>77.5</v>
      </c>
      <c r="F13" s="337">
        <v>55</v>
      </c>
      <c r="G13" s="337">
        <v>76</v>
      </c>
      <c r="H13" s="337">
        <v>81</v>
      </c>
      <c r="I13" s="337">
        <v>50</v>
      </c>
      <c r="J13" s="337">
        <v>41</v>
      </c>
      <c r="K13" s="337">
        <v>48</v>
      </c>
      <c r="L13" s="337">
        <v>50</v>
      </c>
      <c r="M13" s="337">
        <v>60</v>
      </c>
      <c r="N13" s="337">
        <v>60</v>
      </c>
      <c r="O13" s="337">
        <v>70</v>
      </c>
      <c r="P13" s="337">
        <v>51</v>
      </c>
      <c r="Q13" s="270">
        <v>68</v>
      </c>
      <c r="R13" s="337">
        <v>68.5</v>
      </c>
      <c r="S13" s="337"/>
      <c r="T13" s="337">
        <v>66</v>
      </c>
      <c r="U13" s="337">
        <v>35</v>
      </c>
      <c r="V13" s="337">
        <v>50</v>
      </c>
      <c r="W13" s="337"/>
      <c r="X13" s="337">
        <v>61</v>
      </c>
      <c r="Y13" s="337">
        <v>75</v>
      </c>
      <c r="Z13" s="337">
        <v>53.5</v>
      </c>
      <c r="AA13" s="337"/>
      <c r="AB13" s="337">
        <v>59</v>
      </c>
      <c r="AC13" s="337">
        <v>65</v>
      </c>
      <c r="AD13" s="337">
        <v>37.5</v>
      </c>
      <c r="AE13" s="337"/>
      <c r="AF13" s="337">
        <v>70</v>
      </c>
      <c r="AG13" s="337">
        <v>57</v>
      </c>
      <c r="AH13" s="337">
        <v>62.5</v>
      </c>
      <c r="AI13" s="337"/>
      <c r="AJ13" s="337"/>
      <c r="AK13" s="325">
        <f t="shared" si="0"/>
        <v>59.931034482758619</v>
      </c>
      <c r="AL13" s="325">
        <f t="shared" si="2"/>
        <v>59.931034482758619</v>
      </c>
      <c r="AM13" s="188">
        <f t="shared" si="1"/>
        <v>10</v>
      </c>
    </row>
    <row r="14" spans="1:39" s="65" customFormat="1" ht="36">
      <c r="A14" s="481" t="s">
        <v>196</v>
      </c>
      <c r="B14" s="270">
        <v>82.5</v>
      </c>
      <c r="C14" s="337">
        <v>73</v>
      </c>
      <c r="D14" s="337">
        <v>85</v>
      </c>
      <c r="E14" s="337">
        <v>50</v>
      </c>
      <c r="F14" s="337">
        <v>75</v>
      </c>
      <c r="G14" s="337">
        <v>83</v>
      </c>
      <c r="H14" s="337">
        <v>81</v>
      </c>
      <c r="I14" s="337">
        <v>54</v>
      </c>
      <c r="J14" s="337">
        <v>66</v>
      </c>
      <c r="K14" s="337">
        <v>61</v>
      </c>
      <c r="L14" s="337">
        <v>82</v>
      </c>
      <c r="M14" s="337">
        <v>85</v>
      </c>
      <c r="N14" s="337">
        <v>83</v>
      </c>
      <c r="O14" s="337">
        <v>70</v>
      </c>
      <c r="P14" s="337">
        <v>82.5</v>
      </c>
      <c r="Q14" s="270">
        <v>89</v>
      </c>
      <c r="R14" s="337">
        <v>75.5</v>
      </c>
      <c r="S14" s="337"/>
      <c r="T14" s="337">
        <v>64</v>
      </c>
      <c r="U14" s="337">
        <v>47.5</v>
      </c>
      <c r="V14" s="337">
        <v>75</v>
      </c>
      <c r="W14" s="337"/>
      <c r="X14" s="337">
        <v>61</v>
      </c>
      <c r="Y14" s="337">
        <v>77.5</v>
      </c>
      <c r="Z14" s="337">
        <v>71.5</v>
      </c>
      <c r="AA14" s="337"/>
      <c r="AB14" s="337">
        <v>75</v>
      </c>
      <c r="AC14" s="337">
        <v>83</v>
      </c>
      <c r="AD14" s="337">
        <v>57.5</v>
      </c>
      <c r="AE14" s="337"/>
      <c r="AF14" s="337">
        <v>77</v>
      </c>
      <c r="AG14" s="337">
        <v>60</v>
      </c>
      <c r="AH14" s="337">
        <v>65</v>
      </c>
      <c r="AI14" s="337"/>
      <c r="AJ14" s="337"/>
      <c r="AK14" s="325">
        <f t="shared" si="0"/>
        <v>72.120689655172413</v>
      </c>
      <c r="AL14" s="325">
        <f t="shared" si="2"/>
        <v>72.120689655172413</v>
      </c>
      <c r="AM14" s="188">
        <f t="shared" si="1"/>
        <v>4</v>
      </c>
    </row>
    <row r="15" spans="1:39" s="65" customFormat="1" ht="36">
      <c r="A15" s="481" t="s">
        <v>197</v>
      </c>
      <c r="B15" s="270">
        <v>62.5</v>
      </c>
      <c r="C15" s="337">
        <v>60</v>
      </c>
      <c r="D15" s="337">
        <v>40</v>
      </c>
      <c r="E15" s="337">
        <v>60</v>
      </c>
      <c r="F15" s="337">
        <v>45</v>
      </c>
      <c r="G15" s="337">
        <v>55</v>
      </c>
      <c r="H15" s="337">
        <v>75</v>
      </c>
      <c r="I15" s="337">
        <v>32</v>
      </c>
      <c r="J15" s="337">
        <v>29</v>
      </c>
      <c r="K15" s="337">
        <v>45.5</v>
      </c>
      <c r="L15" s="337">
        <v>47</v>
      </c>
      <c r="M15" s="337">
        <v>52</v>
      </c>
      <c r="N15" s="337">
        <v>32</v>
      </c>
      <c r="O15" s="337">
        <v>40</v>
      </c>
      <c r="P15" s="337">
        <v>62.5</v>
      </c>
      <c r="Q15" s="270">
        <v>53</v>
      </c>
      <c r="R15" s="337">
        <v>55</v>
      </c>
      <c r="S15" s="337"/>
      <c r="T15" s="337">
        <v>32</v>
      </c>
      <c r="U15" s="337">
        <v>22.5</v>
      </c>
      <c r="V15" s="337">
        <v>40</v>
      </c>
      <c r="W15" s="337"/>
      <c r="X15" s="337">
        <v>65</v>
      </c>
      <c r="Y15" s="337">
        <v>50</v>
      </c>
      <c r="Z15" s="337">
        <v>38.5</v>
      </c>
      <c r="AA15" s="337">
        <v>60</v>
      </c>
      <c r="AB15" s="337">
        <v>51</v>
      </c>
      <c r="AC15" s="337">
        <v>63</v>
      </c>
      <c r="AD15" s="337">
        <v>30</v>
      </c>
      <c r="AE15" s="337"/>
      <c r="AF15" s="337">
        <v>52</v>
      </c>
      <c r="AG15" s="337">
        <v>38</v>
      </c>
      <c r="AH15" s="337">
        <v>50</v>
      </c>
      <c r="AI15" s="337"/>
      <c r="AJ15" s="337"/>
      <c r="AK15" s="325">
        <f t="shared" si="0"/>
        <v>47.916666666666664</v>
      </c>
      <c r="AL15" s="325">
        <f t="shared" si="2"/>
        <v>47.916666666666664</v>
      </c>
      <c r="AM15" s="188">
        <f t="shared" si="1"/>
        <v>13</v>
      </c>
    </row>
    <row r="16" spans="1:39" s="167" customFormat="1" ht="18">
      <c r="A16" s="481" t="s">
        <v>198</v>
      </c>
      <c r="B16" s="347">
        <v>80</v>
      </c>
      <c r="C16" s="338">
        <v>60</v>
      </c>
      <c r="D16" s="338">
        <v>52.5</v>
      </c>
      <c r="E16" s="338">
        <v>47.5</v>
      </c>
      <c r="F16" s="338">
        <v>50</v>
      </c>
      <c r="G16" s="338">
        <v>59</v>
      </c>
      <c r="H16" s="338">
        <v>79</v>
      </c>
      <c r="I16" s="338">
        <v>44</v>
      </c>
      <c r="J16" s="338">
        <v>51</v>
      </c>
      <c r="K16" s="338">
        <v>56</v>
      </c>
      <c r="L16" s="338">
        <v>62</v>
      </c>
      <c r="M16" s="338">
        <v>65</v>
      </c>
      <c r="N16" s="338">
        <v>57</v>
      </c>
      <c r="O16" s="338">
        <v>65</v>
      </c>
      <c r="P16" s="338">
        <v>27.5</v>
      </c>
      <c r="Q16" s="347">
        <v>71</v>
      </c>
      <c r="R16" s="338">
        <v>67.5</v>
      </c>
      <c r="S16" s="338"/>
      <c r="T16" s="338">
        <v>64</v>
      </c>
      <c r="U16" s="338">
        <v>42.5</v>
      </c>
      <c r="V16" s="338">
        <v>60</v>
      </c>
      <c r="W16" s="338"/>
      <c r="X16" s="338">
        <v>62</v>
      </c>
      <c r="Y16" s="338">
        <v>70</v>
      </c>
      <c r="Z16" s="338">
        <v>41</v>
      </c>
      <c r="AA16" s="338">
        <v>61</v>
      </c>
      <c r="AB16" s="338">
        <v>60</v>
      </c>
      <c r="AC16" s="338">
        <v>71</v>
      </c>
      <c r="AD16" s="338"/>
      <c r="AE16" s="338"/>
      <c r="AF16" s="338">
        <v>72</v>
      </c>
      <c r="AG16" s="338">
        <v>56</v>
      </c>
      <c r="AH16" s="338">
        <v>80</v>
      </c>
      <c r="AI16" s="338"/>
      <c r="AJ16" s="393"/>
      <c r="AK16" s="325">
        <f t="shared" si="0"/>
        <v>59.775862068965516</v>
      </c>
      <c r="AL16" s="325">
        <f t="shared" si="2"/>
        <v>59.775862068965516</v>
      </c>
      <c r="AM16" s="227">
        <f>RANK(AL16,$AL$4:$AL$16)</f>
        <v>11</v>
      </c>
    </row>
    <row r="17" spans="37:38">
      <c r="AK17" s="303"/>
      <c r="AL17" s="205"/>
    </row>
    <row r="18" spans="37:38">
      <c r="AK18" s="304"/>
      <c r="AL18" s="310" t="s">
        <v>161</v>
      </c>
    </row>
  </sheetData>
  <phoneticPr fontId="23" type="noConversion"/>
  <printOptions gridLines="1"/>
  <pageMargins left="0.21" right="0.2" top="1" bottom="1" header="0.5" footer="0.5"/>
  <pageSetup scale="49" orientation="landscape" horizontalDpi="4294967294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69"/>
  <sheetViews>
    <sheetView workbookViewId="0">
      <selection activeCell="E9" sqref="E9"/>
    </sheetView>
  </sheetViews>
  <sheetFormatPr defaultColWidth="8.88671875" defaultRowHeight="13.2"/>
  <cols>
    <col min="1" max="1" width="42.554687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8" ht="17.399999999999999">
      <c r="A1" s="456" t="s">
        <v>206</v>
      </c>
      <c r="B1" s="8"/>
      <c r="C1" s="6"/>
      <c r="D1" s="9"/>
      <c r="E1" s="67"/>
      <c r="F1" s="38"/>
      <c r="G1" s="6"/>
      <c r="H1" s="6"/>
    </row>
    <row r="2" spans="1:8" s="65" customFormat="1" ht="12.75" customHeight="1">
      <c r="A2" s="38"/>
      <c r="B2" s="38"/>
      <c r="C2" s="38"/>
      <c r="D2" s="192" t="s">
        <v>15</v>
      </c>
      <c r="E2" s="193">
        <f>MIN(D5:D17)</f>
        <v>7.87</v>
      </c>
      <c r="F2" s="38" t="s">
        <v>16</v>
      </c>
      <c r="G2" s="38"/>
      <c r="H2" s="38"/>
    </row>
    <row r="3" spans="1:8">
      <c r="A3" s="208"/>
      <c r="B3" s="11"/>
      <c r="C3" s="12"/>
      <c r="D3" s="194" t="s">
        <v>78</v>
      </c>
      <c r="E3" s="193">
        <v>11.72</v>
      </c>
      <c r="F3" s="245" t="s">
        <v>16</v>
      </c>
      <c r="G3" s="6"/>
    </row>
    <row r="4" spans="1:8" ht="27" customHeight="1" thickBot="1">
      <c r="A4" s="10"/>
      <c r="B4" s="39" t="s">
        <v>31</v>
      </c>
      <c r="C4" s="39" t="s">
        <v>32</v>
      </c>
      <c r="D4" s="39" t="s">
        <v>38</v>
      </c>
      <c r="E4" s="36" t="s">
        <v>9</v>
      </c>
      <c r="F4" s="5" t="s">
        <v>27</v>
      </c>
      <c r="G4" s="260" t="s">
        <v>178</v>
      </c>
      <c r="H4" s="36"/>
    </row>
    <row r="5" spans="1:8" ht="18">
      <c r="A5" s="480" t="s">
        <v>186</v>
      </c>
      <c r="B5" s="496">
        <v>11.91</v>
      </c>
      <c r="C5" s="498">
        <v>10.06</v>
      </c>
      <c r="D5" s="168">
        <f t="shared" ref="D5:D17" si="0">MIN(B5:C5)</f>
        <v>10.06</v>
      </c>
      <c r="E5" s="248">
        <f>IF(D5&gt;=12,2.5,(-$D$21*D5+$D$22))</f>
        <v>21.558441558441558</v>
      </c>
      <c r="F5" s="5">
        <f>RANK(E5,$E$5:$E$17)</f>
        <v>11</v>
      </c>
      <c r="G5" s="310"/>
      <c r="H5" s="64"/>
    </row>
    <row r="6" spans="1:8" ht="18">
      <c r="A6" s="480" t="s">
        <v>187</v>
      </c>
      <c r="B6" s="495">
        <v>9.0299999999999994</v>
      </c>
      <c r="C6" s="499">
        <v>8.25</v>
      </c>
      <c r="D6" s="168">
        <f t="shared" si="0"/>
        <v>8.25</v>
      </c>
      <c r="E6" s="248">
        <f t="shared" ref="E6:E17" si="1">IF(D6&gt;=12,2.5,(-$D$21*D6+$D$22))</f>
        <v>45.064935064935057</v>
      </c>
      <c r="F6" s="5">
        <f>RANK(E6,$E$5:$E$17)</f>
        <v>5</v>
      </c>
      <c r="G6" s="310"/>
      <c r="H6" s="64"/>
    </row>
    <row r="7" spans="1:8" ht="18">
      <c r="A7" s="480" t="s">
        <v>188</v>
      </c>
      <c r="B7" s="495">
        <v>9.2799999999999994</v>
      </c>
      <c r="C7" s="499">
        <v>9.16</v>
      </c>
      <c r="D7" s="168">
        <f t="shared" si="0"/>
        <v>9.16</v>
      </c>
      <c r="E7" s="248">
        <f t="shared" si="1"/>
        <v>33.246753246753229</v>
      </c>
      <c r="F7" s="5">
        <f>RANK(E7,$E$5:$E$17)</f>
        <v>8</v>
      </c>
      <c r="G7" s="310"/>
      <c r="H7" s="64"/>
    </row>
    <row r="8" spans="1:8" s="205" customFormat="1" ht="18">
      <c r="A8" s="480" t="s">
        <v>189</v>
      </c>
      <c r="B8" s="495">
        <v>8.5</v>
      </c>
      <c r="C8" s="499">
        <v>9.18</v>
      </c>
      <c r="D8" s="168">
        <f t="shared" si="0"/>
        <v>8.5</v>
      </c>
      <c r="E8" s="248">
        <f t="shared" si="1"/>
        <v>41.818181818181813</v>
      </c>
      <c r="F8" s="5">
        <f>RANK(E8,$E$5:$E$17)</f>
        <v>7</v>
      </c>
      <c r="G8" s="310"/>
      <c r="H8" s="233"/>
    </row>
    <row r="9" spans="1:8" ht="18">
      <c r="A9" s="480" t="s">
        <v>190</v>
      </c>
      <c r="B9" s="495">
        <v>7.97</v>
      </c>
      <c r="C9" s="499">
        <v>7.87</v>
      </c>
      <c r="D9" s="168">
        <f t="shared" si="0"/>
        <v>7.87</v>
      </c>
      <c r="E9" s="248">
        <f t="shared" si="1"/>
        <v>49.999999999999986</v>
      </c>
      <c r="F9" s="5">
        <f t="shared" ref="F9:F17" si="2">RANK(E9,$E$5:$E$17)</f>
        <v>1</v>
      </c>
      <c r="G9" s="310"/>
      <c r="H9" s="64"/>
    </row>
    <row r="10" spans="1:8" ht="18">
      <c r="A10" s="480" t="s">
        <v>191</v>
      </c>
      <c r="B10" s="495">
        <v>7.97</v>
      </c>
      <c r="C10" s="499">
        <v>8.91</v>
      </c>
      <c r="D10" s="168">
        <f t="shared" si="0"/>
        <v>7.97</v>
      </c>
      <c r="E10" s="248">
        <f t="shared" si="1"/>
        <v>48.701298701298697</v>
      </c>
      <c r="F10" s="5">
        <f t="shared" si="2"/>
        <v>3</v>
      </c>
      <c r="G10" s="310"/>
      <c r="H10" s="64"/>
    </row>
    <row r="11" spans="1:8" ht="18">
      <c r="A11" s="480" t="s">
        <v>192</v>
      </c>
      <c r="B11" s="495">
        <v>8.5</v>
      </c>
      <c r="C11" s="499">
        <v>8.4</v>
      </c>
      <c r="D11" s="168">
        <f t="shared" si="0"/>
        <v>8.4</v>
      </c>
      <c r="E11" s="248">
        <f t="shared" si="1"/>
        <v>43.116883116883102</v>
      </c>
      <c r="F11" s="5">
        <f t="shared" si="2"/>
        <v>6</v>
      </c>
      <c r="G11" s="310"/>
      <c r="H11" s="64"/>
    </row>
    <row r="12" spans="1:8" ht="18">
      <c r="A12" s="480" t="s">
        <v>193</v>
      </c>
      <c r="B12" s="495">
        <v>8.66</v>
      </c>
      <c r="C12" s="499">
        <v>8.16</v>
      </c>
      <c r="D12" s="168">
        <f t="shared" si="0"/>
        <v>8.16</v>
      </c>
      <c r="E12" s="248">
        <f t="shared" si="1"/>
        <v>46.233766233766218</v>
      </c>
      <c r="F12" s="5">
        <f t="shared" si="2"/>
        <v>4</v>
      </c>
      <c r="G12" s="310"/>
      <c r="H12" s="64"/>
    </row>
    <row r="13" spans="1:8" ht="18">
      <c r="A13" s="480" t="s">
        <v>194</v>
      </c>
      <c r="B13" s="495">
        <v>8.9</v>
      </c>
      <c r="C13" s="499">
        <v>7.9</v>
      </c>
      <c r="D13" s="168">
        <f t="shared" si="0"/>
        <v>7.9</v>
      </c>
      <c r="E13" s="248">
        <f t="shared" si="1"/>
        <v>49.610389610389589</v>
      </c>
      <c r="F13" s="5">
        <f t="shared" si="2"/>
        <v>2</v>
      </c>
      <c r="G13" s="310"/>
      <c r="H13" s="64"/>
    </row>
    <row r="14" spans="1:8" s="140" customFormat="1" ht="18">
      <c r="A14" s="480" t="s">
        <v>195</v>
      </c>
      <c r="B14" s="495">
        <v>9.5399999999999991</v>
      </c>
      <c r="C14" s="499">
        <v>9.19</v>
      </c>
      <c r="D14" s="168">
        <f t="shared" si="0"/>
        <v>9.19</v>
      </c>
      <c r="E14" s="248">
        <f t="shared" si="1"/>
        <v>32.857142857142861</v>
      </c>
      <c r="F14" s="5">
        <f t="shared" si="2"/>
        <v>9</v>
      </c>
      <c r="G14" s="310"/>
      <c r="H14" s="144"/>
    </row>
    <row r="15" spans="1:8" s="140" customFormat="1" ht="18">
      <c r="A15" s="480" t="s">
        <v>196</v>
      </c>
      <c r="B15" s="495">
        <v>10.19</v>
      </c>
      <c r="C15" s="499">
        <v>10.1</v>
      </c>
      <c r="D15" s="168">
        <f t="shared" si="0"/>
        <v>10.1</v>
      </c>
      <c r="E15" s="248">
        <f t="shared" si="1"/>
        <v>21.038961038961048</v>
      </c>
      <c r="F15" s="5">
        <f t="shared" si="2"/>
        <v>12</v>
      </c>
      <c r="G15" s="310"/>
      <c r="H15" s="144"/>
    </row>
    <row r="16" spans="1:8" s="140" customFormat="1" ht="18">
      <c r="A16" s="480" t="s">
        <v>197</v>
      </c>
      <c r="B16" s="497">
        <v>11.72</v>
      </c>
      <c r="C16" s="500">
        <v>12.47</v>
      </c>
      <c r="D16" s="168">
        <f t="shared" si="0"/>
        <v>11.72</v>
      </c>
      <c r="E16" s="248">
        <f t="shared" si="1"/>
        <v>0</v>
      </c>
      <c r="F16" s="5">
        <f t="shared" si="2"/>
        <v>13</v>
      </c>
      <c r="G16" s="310"/>
      <c r="H16" s="144"/>
    </row>
    <row r="17" spans="1:8" ht="18">
      <c r="A17" s="480" t="s">
        <v>198</v>
      </c>
      <c r="B17" s="497">
        <v>9.98</v>
      </c>
      <c r="C17" s="500">
        <v>9.75</v>
      </c>
      <c r="D17" s="168">
        <f t="shared" si="0"/>
        <v>9.75</v>
      </c>
      <c r="E17" s="248">
        <f t="shared" si="1"/>
        <v>25.584415584415581</v>
      </c>
      <c r="F17" s="5">
        <f t="shared" si="2"/>
        <v>10</v>
      </c>
      <c r="G17" s="310"/>
      <c r="H17" s="2"/>
    </row>
    <row r="18" spans="1:8">
      <c r="A18" s="24"/>
      <c r="B18" s="56"/>
      <c r="C18" s="56"/>
      <c r="D18" s="56"/>
      <c r="E18" s="18"/>
      <c r="F18" s="18"/>
      <c r="G18" s="18"/>
      <c r="H18" s="3"/>
    </row>
    <row r="19" spans="1:8">
      <c r="A19" s="24"/>
      <c r="B19" s="56"/>
      <c r="C19" s="135"/>
      <c r="D19" s="56"/>
      <c r="E19" s="18"/>
      <c r="F19" s="18"/>
      <c r="G19" s="18"/>
      <c r="H19" s="3"/>
    </row>
    <row r="20" spans="1:8">
      <c r="A20" s="24"/>
      <c r="B20" s="56"/>
      <c r="C20" s="259" t="s">
        <v>141</v>
      </c>
      <c r="D20" s="56"/>
      <c r="E20" s="18"/>
      <c r="F20" s="18"/>
      <c r="G20" s="18"/>
      <c r="H20" s="3"/>
    </row>
    <row r="21" spans="1:8">
      <c r="A21" s="24"/>
      <c r="B21" s="56"/>
      <c r="C21" s="307" t="s">
        <v>138</v>
      </c>
      <c r="D21" s="305">
        <f>50/(E3-E2)</f>
        <v>12.987012987012985</v>
      </c>
      <c r="E21" s="18"/>
      <c r="F21" s="18"/>
      <c r="G21" s="18"/>
      <c r="H21" s="3"/>
    </row>
    <row r="22" spans="1:8">
      <c r="A22" s="24"/>
      <c r="B22" s="56"/>
      <c r="C22" s="307" t="s">
        <v>139</v>
      </c>
      <c r="D22" s="306">
        <f>D21*E3</f>
        <v>152.20779220779218</v>
      </c>
      <c r="E22" s="18"/>
      <c r="F22" s="18"/>
      <c r="G22" s="18"/>
      <c r="H22" s="3"/>
    </row>
    <row r="23" spans="1:8">
      <c r="A23" s="24"/>
      <c r="C23" s="259" t="s">
        <v>181</v>
      </c>
      <c r="D23" s="56"/>
      <c r="E23" s="18"/>
      <c r="F23" s="18"/>
      <c r="G23" s="18"/>
      <c r="H23" s="3"/>
    </row>
    <row r="24" spans="1:8">
      <c r="A24" s="24"/>
      <c r="B24" s="56"/>
      <c r="C24" s="56"/>
      <c r="D24" s="56"/>
      <c r="E24" s="18"/>
      <c r="F24" s="18"/>
      <c r="G24" s="18"/>
      <c r="H24" s="3"/>
    </row>
    <row r="25" spans="1:8">
      <c r="A25" s="24"/>
      <c r="B25" s="56"/>
      <c r="C25" s="56"/>
      <c r="D25" s="56"/>
      <c r="E25" s="18"/>
      <c r="F25" s="18"/>
      <c r="G25" s="18"/>
      <c r="H25" s="3"/>
    </row>
    <row r="26" spans="1:8">
      <c r="A26" s="24"/>
      <c r="B26" s="56"/>
      <c r="C26" s="56"/>
      <c r="D26" s="56"/>
      <c r="E26" s="18"/>
      <c r="F26" s="18"/>
      <c r="G26" s="18"/>
      <c r="H26" s="3"/>
    </row>
    <row r="27" spans="1:8">
      <c r="A27" s="24"/>
      <c r="B27" s="56"/>
      <c r="C27" s="56"/>
      <c r="D27" s="56"/>
      <c r="E27" s="18"/>
      <c r="F27" s="18"/>
      <c r="G27" s="18"/>
      <c r="H27" s="3"/>
    </row>
    <row r="28" spans="1:8">
      <c r="A28" s="24"/>
      <c r="B28" s="56"/>
      <c r="C28" s="56"/>
      <c r="D28" s="56"/>
      <c r="E28" s="18"/>
      <c r="F28" s="18"/>
      <c r="G28" s="18"/>
      <c r="H28" s="6"/>
    </row>
    <row r="29" spans="1:8">
      <c r="A29" s="24"/>
      <c r="B29" s="56"/>
      <c r="C29" s="56"/>
      <c r="D29" s="56"/>
      <c r="E29" s="18"/>
      <c r="F29" s="18"/>
      <c r="G29" s="18"/>
      <c r="H29" s="6"/>
    </row>
    <row r="30" spans="1:8">
      <c r="A30" s="12"/>
      <c r="B30" s="56"/>
      <c r="C30" s="56"/>
      <c r="D30" s="56"/>
      <c r="E30" s="18"/>
      <c r="F30" s="18"/>
      <c r="G30" s="18"/>
      <c r="H30" s="6"/>
    </row>
    <row r="31" spans="1:8">
      <c r="A31" s="12"/>
      <c r="B31" s="56"/>
      <c r="C31" s="56"/>
      <c r="D31" s="56"/>
      <c r="E31" s="18"/>
      <c r="F31" s="18"/>
      <c r="G31" s="18"/>
      <c r="H31" s="6"/>
    </row>
    <row r="32" spans="1:8">
      <c r="A32" s="12"/>
      <c r="B32" s="56"/>
      <c r="C32" s="56"/>
      <c r="D32" s="56"/>
      <c r="E32" s="18"/>
      <c r="F32" s="18"/>
      <c r="G32" s="18"/>
      <c r="H32" s="6"/>
    </row>
    <row r="33" spans="1:8">
      <c r="A33" s="51"/>
      <c r="B33" s="12"/>
      <c r="C33" s="12"/>
      <c r="D33" s="12"/>
      <c r="E33" s="6"/>
      <c r="F33" s="6"/>
      <c r="G33" s="6"/>
      <c r="H33" s="6"/>
    </row>
    <row r="34" spans="1:8">
      <c r="B34" s="4"/>
      <c r="C34" s="4"/>
      <c r="D34" s="4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</sheetData>
  <phoneticPr fontId="23" type="noConversion"/>
  <printOptions gridLines="1"/>
  <pageMargins left="0.75" right="0.75" top="0.5" bottom="0.5" header="0.5" footer="0.5"/>
  <pageSetup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2012-03-11T15:23:34Z</cp:lastPrinted>
  <dcterms:created xsi:type="dcterms:W3CDTF">2000-03-12T02:15:03Z</dcterms:created>
  <dcterms:modified xsi:type="dcterms:W3CDTF">2015-03-11T20:33:19Z</dcterms:modified>
</cp:coreProperties>
</file>