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6608" windowHeight="4272" tabRatio="920"/>
  </bookViews>
  <sheets>
    <sheet name="Totals and Awards" sheetId="13" r:id="rId1"/>
    <sheet name="Paper" sheetId="1" r:id="rId2"/>
    <sheet name="Static" sheetId="2" r:id="rId3"/>
    <sheet name="MSRP" sheetId="3" r:id="rId4"/>
    <sheet name="Subjective Handling" sheetId="14" r:id="rId5"/>
    <sheet name="Range" sheetId="4" r:id="rId6"/>
    <sheet name="Oral" sheetId="5" r:id="rId7"/>
    <sheet name="Noise" sheetId="6" r:id="rId8"/>
    <sheet name="Draw Bar Pull" sheetId="9" r:id="rId9"/>
    <sheet name="Cold Start" sheetId="10" r:id="rId10"/>
    <sheet name="Vehicle Weights" sheetId="15" r:id="rId11"/>
    <sheet name="Objective Handling" sheetId="7" r:id="rId12"/>
    <sheet name="Acceleration+Load" sheetId="16" r:id="rId13"/>
    <sheet name="Penalties and Bonuses" sheetId="12" r:id="rId14"/>
    <sheet name="Sheet1" sheetId="17" r:id="rId15"/>
  </sheets>
  <definedNames>
    <definedName name="_xlnm.Print_Area" localSheetId="4">'Subjective Handling'!$A$1:$K$12</definedName>
    <definedName name="_xlnm.Print_Area" localSheetId="0">'Totals and Awards'!$A$1:$N$41</definedName>
  </definedNames>
  <calcPr calcId="125725"/>
</workbook>
</file>

<file path=xl/calcChain.xml><?xml version="1.0" encoding="utf-8"?>
<calcChain xmlns="http://schemas.openxmlformats.org/spreadsheetml/2006/main">
  <c r="B36" i="13"/>
  <c r="B35"/>
  <c r="B34"/>
  <c r="B33"/>
  <c r="B19" i="3" l="1"/>
  <c r="B20"/>
  <c r="AA6" i="5" l="1"/>
  <c r="AB6" s="1"/>
  <c r="I27" i="1" l="1"/>
  <c r="I28" s="1"/>
  <c r="G27"/>
  <c r="G28" s="1"/>
  <c r="E8" i="9"/>
  <c r="E9"/>
  <c r="E10"/>
  <c r="E11"/>
  <c r="E12"/>
  <c r="E13"/>
  <c r="D8"/>
  <c r="D9"/>
  <c r="D10"/>
  <c r="D11"/>
  <c r="D12"/>
  <c r="D13"/>
  <c r="AA10" i="5" l="1"/>
  <c r="AB10" s="1"/>
  <c r="C7" i="2"/>
  <c r="C9"/>
  <c r="C10"/>
  <c r="C4"/>
  <c r="H31" i="1"/>
  <c r="B22" i="9" l="1"/>
  <c r="B21"/>
  <c r="E14" i="6"/>
  <c r="E13"/>
  <c r="B19"/>
  <c r="AA4" i="5"/>
  <c r="AB4" s="1"/>
  <c r="AA7"/>
  <c r="AA9"/>
  <c r="AB9" s="1"/>
  <c r="B21" i="4"/>
  <c r="B20"/>
  <c r="H27" i="1"/>
  <c r="H28" s="1"/>
  <c r="C9" i="13"/>
  <c r="C10"/>
  <c r="J10" i="12"/>
  <c r="M10" i="13" s="1"/>
  <c r="J9" i="12"/>
  <c r="M9" i="13" s="1"/>
  <c r="B8"/>
  <c r="G10"/>
  <c r="J4" i="14"/>
  <c r="K4" s="1"/>
  <c r="L4" s="1"/>
  <c r="E10" i="13"/>
  <c r="G31" i="1"/>
  <c r="I31"/>
  <c r="G4" i="13" l="1"/>
  <c r="AC6" i="5"/>
  <c r="AC10"/>
  <c r="B19" i="9"/>
  <c r="C10" i="6"/>
  <c r="C9"/>
  <c r="C8"/>
  <c r="C12"/>
  <c r="C11"/>
  <c r="B20" i="16"/>
  <c r="B19"/>
  <c r="B20" i="7"/>
  <c r="G9" i="13"/>
  <c r="B19" i="7"/>
  <c r="E9" i="13"/>
  <c r="B10"/>
  <c r="B9"/>
  <c r="C27" l="1"/>
  <c r="C26"/>
  <c r="E7"/>
  <c r="E6"/>
  <c r="C8"/>
  <c r="C31" i="1" l="1"/>
  <c r="E31"/>
  <c r="F31"/>
  <c r="D31"/>
  <c r="C27" i="6" l="1"/>
  <c r="B28"/>
  <c r="B29" s="1"/>
  <c r="E15"/>
  <c r="E4" i="13"/>
  <c r="AB7" i="5"/>
  <c r="F2" i="4"/>
  <c r="AC9" i="5" l="1"/>
  <c r="AC4"/>
  <c r="AC7"/>
  <c r="B19" i="15"/>
  <c r="B18"/>
  <c r="G8" i="13"/>
  <c r="C25" s="1"/>
  <c r="C28" i="6"/>
  <c r="C29"/>
  <c r="B30"/>
  <c r="E8" i="13"/>
  <c r="E16" i="6"/>
  <c r="B18" i="4"/>
  <c r="B17" i="3"/>
  <c r="G6" i="13"/>
  <c r="G7"/>
  <c r="B31" i="6" l="1"/>
  <c r="C30"/>
  <c r="B20" i="9"/>
  <c r="B18" i="3"/>
  <c r="E8" s="1"/>
  <c r="K8" s="1"/>
  <c r="B16" i="15"/>
  <c r="B19" i="4"/>
  <c r="F27" i="1"/>
  <c r="F28" s="1"/>
  <c r="E27"/>
  <c r="E28" s="1"/>
  <c r="C27"/>
  <c r="C28" s="1"/>
  <c r="D27"/>
  <c r="D28" s="1"/>
  <c r="E12" i="3" l="1"/>
  <c r="K10"/>
  <c r="D8" i="13" s="1"/>
  <c r="I29" i="1"/>
  <c r="G29"/>
  <c r="H29"/>
  <c r="E29"/>
  <c r="C29"/>
  <c r="D29"/>
  <c r="F29"/>
  <c r="D6" i="13"/>
  <c r="K11" i="3"/>
  <c r="C31" i="6"/>
  <c r="B32"/>
  <c r="E6" i="3"/>
  <c r="K6" s="1"/>
  <c r="K7"/>
  <c r="K12"/>
  <c r="D10" i="13" s="1"/>
  <c r="B17" i="15"/>
  <c r="D7" i="9"/>
  <c r="E9" i="3"/>
  <c r="K9" s="1"/>
  <c r="F1" i="4"/>
  <c r="C5" i="13"/>
  <c r="C7"/>
  <c r="C6"/>
  <c r="C4"/>
  <c r="J7" i="12"/>
  <c r="M7" i="13" s="1"/>
  <c r="J6" i="12"/>
  <c r="M6" i="13" s="1"/>
  <c r="J4" i="12"/>
  <c r="M4" i="13" s="1"/>
  <c r="J8" i="12"/>
  <c r="M8" i="13" s="1"/>
  <c r="J5" i="12"/>
  <c r="M5" i="13" s="1"/>
  <c r="L9" i="3" l="1"/>
  <c r="G8" i="15"/>
  <c r="G11"/>
  <c r="N10" i="13" s="1"/>
  <c r="G10" i="15"/>
  <c r="N8" i="13"/>
  <c r="D4"/>
  <c r="L12" i="3"/>
  <c r="L6"/>
  <c r="L10"/>
  <c r="D5" i="13"/>
  <c r="L7" i="3"/>
  <c r="L11"/>
  <c r="L8"/>
  <c r="F4" i="13"/>
  <c r="F10"/>
  <c r="F8"/>
  <c r="F9"/>
  <c r="E7" i="9"/>
  <c r="N9" i="13"/>
  <c r="D9"/>
  <c r="C32" i="6"/>
  <c r="B33"/>
  <c r="C6"/>
  <c r="G6" s="1"/>
  <c r="H4" i="13" s="1"/>
  <c r="N4"/>
  <c r="D7"/>
  <c r="C7" i="6"/>
  <c r="E3" i="16"/>
  <c r="E2"/>
  <c r="G5" i="13"/>
  <c r="B5"/>
  <c r="B6"/>
  <c r="C23" s="1"/>
  <c r="B7"/>
  <c r="C24" s="1"/>
  <c r="B4"/>
  <c r="F7"/>
  <c r="F6"/>
  <c r="F5"/>
  <c r="C22" l="1"/>
  <c r="C33" i="6"/>
  <c r="B34"/>
  <c r="B17" i="16"/>
  <c r="N5" i="13"/>
  <c r="B17" i="7"/>
  <c r="E5" i="13"/>
  <c r="N6"/>
  <c r="N7"/>
  <c r="C34" i="6" l="1"/>
  <c r="B35"/>
  <c r="B18" i="16"/>
  <c r="E6" s="1"/>
  <c r="B18" i="7"/>
  <c r="E8" s="1"/>
  <c r="E6" l="1"/>
  <c r="E8" i="16"/>
  <c r="E10"/>
  <c r="E12"/>
  <c r="J10" i="13" s="1"/>
  <c r="E11" i="16"/>
  <c r="E9"/>
  <c r="J7" i="13" s="1"/>
  <c r="E7" i="16"/>
  <c r="E10" i="7"/>
  <c r="E12"/>
  <c r="E7"/>
  <c r="E9"/>
  <c r="E11"/>
  <c r="C35" i="6"/>
  <c r="B36"/>
  <c r="C21" i="13"/>
  <c r="C29" l="1"/>
  <c r="F7" i="16"/>
  <c r="F10"/>
  <c r="F12"/>
  <c r="F8"/>
  <c r="F11"/>
  <c r="F9"/>
  <c r="F10" i="7"/>
  <c r="F7"/>
  <c r="F8"/>
  <c r="F9"/>
  <c r="F11"/>
  <c r="F12"/>
  <c r="I10" i="13"/>
  <c r="G27" s="1"/>
  <c r="J6"/>
  <c r="J5"/>
  <c r="J4"/>
  <c r="F6" i="16"/>
  <c r="J9" i="13"/>
  <c r="I4"/>
  <c r="F6" i="7"/>
  <c r="G23" i="13"/>
  <c r="C36" i="6"/>
  <c r="B37"/>
  <c r="J8" i="13"/>
  <c r="G24"/>
  <c r="G21" l="1"/>
  <c r="G26"/>
  <c r="G22"/>
  <c r="G25"/>
  <c r="C37" i="6"/>
  <c r="B38"/>
  <c r="H25" i="13" l="1"/>
  <c r="H24"/>
  <c r="H21"/>
  <c r="H27"/>
  <c r="H23"/>
  <c r="H26"/>
  <c r="H22"/>
  <c r="C38" i="6"/>
  <c r="B39"/>
  <c r="C39" l="1"/>
  <c r="B40"/>
  <c r="C40" l="1"/>
  <c r="B41"/>
  <c r="C41" l="1"/>
  <c r="B42"/>
  <c r="C42" l="1"/>
  <c r="B43"/>
  <c r="C43" s="1"/>
</calcChain>
</file>

<file path=xl/sharedStrings.xml><?xml version="1.0" encoding="utf-8"?>
<sst xmlns="http://schemas.openxmlformats.org/spreadsheetml/2006/main" count="382" uniqueCount="150">
  <si>
    <t>Handling</t>
  </si>
  <si>
    <t>Oral</t>
  </si>
  <si>
    <t>Static</t>
  </si>
  <si>
    <t>Paper</t>
  </si>
  <si>
    <t>Late Paper</t>
  </si>
  <si>
    <t>Safety Violation</t>
  </si>
  <si>
    <t>POINTS</t>
  </si>
  <si>
    <t>miles</t>
  </si>
  <si>
    <t>SCORE</t>
  </si>
  <si>
    <t>Tmin=</t>
  </si>
  <si>
    <t>sec</t>
  </si>
  <si>
    <t>Result (PASS/FAIL)</t>
  </si>
  <si>
    <t>Points</t>
  </si>
  <si>
    <t>Design</t>
  </si>
  <si>
    <t>TOTAL</t>
  </si>
  <si>
    <t>RANK</t>
  </si>
  <si>
    <t>FINAL</t>
  </si>
  <si>
    <t>Ordinal</t>
  </si>
  <si>
    <t>Run1 Time (s)</t>
  </si>
  <si>
    <t>Run2 Time (s)</t>
  </si>
  <si>
    <t>Noise</t>
  </si>
  <si>
    <t>Best Time (s)</t>
  </si>
  <si>
    <t>Late Oral</t>
  </si>
  <si>
    <t>Cold</t>
  </si>
  <si>
    <t>Start</t>
  </si>
  <si>
    <t xml:space="preserve"> </t>
  </si>
  <si>
    <t>Display</t>
  </si>
  <si>
    <t>Subjective</t>
  </si>
  <si>
    <t>Comments</t>
  </si>
  <si>
    <t>Score</t>
  </si>
  <si>
    <t>Front Left</t>
  </si>
  <si>
    <t>Front Right</t>
  </si>
  <si>
    <t>Rear</t>
  </si>
  <si>
    <t>pounds</t>
  </si>
  <si>
    <t>Weights</t>
  </si>
  <si>
    <t>Total</t>
  </si>
  <si>
    <t>Late MSRP</t>
  </si>
  <si>
    <t>Bonus for No Maintenance</t>
  </si>
  <si>
    <t>Maintenance
or
Design</t>
  </si>
  <si>
    <t>Bonuses</t>
  </si>
  <si>
    <t>Penalties/</t>
  </si>
  <si>
    <t>MSRP</t>
  </si>
  <si>
    <t>Best Design Winner (SAE)</t>
  </si>
  <si>
    <t>Class</t>
  </si>
  <si>
    <t>Average</t>
  </si>
  <si>
    <t>Subjective Points</t>
  </si>
  <si>
    <t>Total Noise</t>
  </si>
  <si>
    <t>ZE</t>
  </si>
  <si>
    <t>Miles 
Traveled</t>
  </si>
  <si>
    <t xml:space="preserve">Max = </t>
  </si>
  <si>
    <t>Min =</t>
  </si>
  <si>
    <t>Range</t>
  </si>
  <si>
    <t>Max
Pull</t>
  </si>
  <si>
    <t>Draw Bar</t>
  </si>
  <si>
    <t>Pull</t>
  </si>
  <si>
    <t>ZE Class Only</t>
  </si>
  <si>
    <t>J1161 Level</t>
  </si>
  <si>
    <t>Total J1161 Score</t>
  </si>
  <si>
    <t>Max=</t>
  </si>
  <si>
    <t>Min=</t>
  </si>
  <si>
    <t>Tmax=</t>
  </si>
  <si>
    <t>IC</t>
  </si>
  <si>
    <t>Inspection
 Penalty</t>
  </si>
  <si>
    <t>Best ZE</t>
  </si>
  <si>
    <t>Objective</t>
  </si>
  <si>
    <t>Acceleration +</t>
  </si>
  <si>
    <t>Load</t>
  </si>
  <si>
    <t>Team</t>
  </si>
  <si>
    <t>Linear Ranking on $$$</t>
  </si>
  <si>
    <t>Justifying starting point for sled</t>
  </si>
  <si>
    <t>Justifying reason for component adds</t>
  </si>
  <si>
    <t>Quality of research in determining price</t>
  </si>
  <si>
    <t>"y=mx+B'</t>
  </si>
  <si>
    <t>Y=score</t>
  </si>
  <si>
    <t>X=cost</t>
  </si>
  <si>
    <t>M=slope</t>
  </si>
  <si>
    <t>B=Y intercept at X=0</t>
  </si>
  <si>
    <t>Max score points=</t>
  </si>
  <si>
    <t>20 Points are given on a linear scale from low to high.</t>
  </si>
  <si>
    <t>Total
Score</t>
  </si>
  <si>
    <t>Minimum score is 2.5 if they turn in an MSRP.</t>
  </si>
  <si>
    <t>Minimum score is 2.5 if they compete.</t>
  </si>
  <si>
    <t>Minimum score is 5 points if the sled travels 500 feet (~.1 miles).</t>
  </si>
  <si>
    <t>Sample result: -3dB in sound pressure = ~half the max score</t>
  </si>
  <si>
    <t>or whatever the minumum is</t>
  </si>
  <si>
    <t>Minimum team J1161 Sound Pressure Level</t>
  </si>
  <si>
    <t>Minimum  rank</t>
  </si>
  <si>
    <t>Maximum rank</t>
  </si>
  <si>
    <t>Slope</t>
  </si>
  <si>
    <t>Intercept</t>
  </si>
  <si>
    <t>The minimum points for competing in the objective noise test is 7.5 points.</t>
  </si>
  <si>
    <t>Lowest SPL gets 75 points</t>
  </si>
  <si>
    <t>Y=mx+b</t>
  </si>
  <si>
    <t>X=draw bar pull</t>
  </si>
  <si>
    <t>B=Yintercept at X=0</t>
  </si>
  <si>
    <t>Max score</t>
  </si>
  <si>
    <t>First Place Winner Overall Phoenix Intl $1000</t>
  </si>
  <si>
    <t>Second Place Winner Overall Phoenix Intl $750</t>
  </si>
  <si>
    <t>Third Place Winner Overall Phoenix Intl $500</t>
  </si>
  <si>
    <t>X=seconds</t>
  </si>
  <si>
    <t>seconds</t>
  </si>
  <si>
    <t>lbf</t>
  </si>
  <si>
    <t>These are subjective scores from the MSRP judges</t>
  </si>
  <si>
    <t>Written Paper
Judges</t>
  </si>
  <si>
    <t>1st</t>
  </si>
  <si>
    <t>2nd</t>
  </si>
  <si>
    <t>3rd</t>
  </si>
  <si>
    <t>Formula is correct but only one competitor</t>
  </si>
  <si>
    <t>Highest:</t>
  </si>
  <si>
    <t>Judge</t>
  </si>
  <si>
    <t>Late ESF</t>
  </si>
  <si>
    <t>E51 McGill University</t>
  </si>
  <si>
    <t xml:space="preserve">E52 Univ of Alaska - Fairbanks </t>
  </si>
  <si>
    <t>E54 S. Dakota Sch of Mines &amp; Tech.</t>
  </si>
  <si>
    <t xml:space="preserve">E56 Queen's Univ - Ontario Canada </t>
  </si>
  <si>
    <t>E61 UAF - Bristol Bay Campus</t>
  </si>
  <si>
    <t>SAE CSC2014 Final Score Zero Emissions Class</t>
  </si>
  <si>
    <t>SAE CSC2014  Design Paper Event Coordinator - Jay Meldrum</t>
  </si>
  <si>
    <t>SAE CSC 2014 Static Display Results Event Coordinator - Jay Meldrum</t>
  </si>
  <si>
    <t>SAE CSC 2014 Manufacturers Suggested Retail Price Results - Event Coordinator Dan Nehmer</t>
  </si>
  <si>
    <t>SAE CSC 2014 Subjective Ride Results - Event Coordinator Mike Ruamp</t>
  </si>
  <si>
    <t>SAE CSC 2014 Range Event Coordinator -Tracy Dahl</t>
  </si>
  <si>
    <t>SAE CSC 2014 Oral Presentation  - Event Coordinator Bill Shapton</t>
  </si>
  <si>
    <t>SAE CSC 2014  Engine Noise - Event Coordinators Jeff Van Karsen and Jud Knittel</t>
  </si>
  <si>
    <t>SAE CSC 2014 Draw Bar Pull - Event Coordinator - Mark Osborne</t>
  </si>
  <si>
    <t>SAE CSC 2014 Cold Start - Event Coordinator Jay Meldrum/Kris Zrdal</t>
  </si>
  <si>
    <t>SAE CSC 2014 Vehicle Weights - Event Coordinator Scott Gruenberg</t>
  </si>
  <si>
    <t>SAE CSC 2014 Objective Handling  - Event Coordinator - Mike Rukamp - Polaris</t>
  </si>
  <si>
    <t xml:space="preserve">SAE CSC2014 Acceleration+Load  - Event Coordinator - </t>
  </si>
  <si>
    <t>SAE CSC 2014 Penalties</t>
  </si>
  <si>
    <t>E52 Univ of Alaska - Fairbanks -withdrew</t>
  </si>
  <si>
    <t>E55 Clarkson University - withdrew</t>
  </si>
  <si>
    <t>E52 Univ of Alaska - Fairbanks - withdrew</t>
  </si>
  <si>
    <t>E53 Michigan Tech University - withdrew</t>
  </si>
  <si>
    <t>more than 15 pages, 2 days late</t>
  </si>
  <si>
    <t>3 days late</t>
  </si>
  <si>
    <t>5 days late</t>
  </si>
  <si>
    <t>WD</t>
  </si>
  <si>
    <t>DNF</t>
  </si>
  <si>
    <t>Did not Attend MSRP Review</t>
  </si>
  <si>
    <t>Did not Attend MSRP Review or submit MSRP sheet</t>
  </si>
  <si>
    <t>DNC</t>
  </si>
  <si>
    <t>FAIL</t>
  </si>
  <si>
    <t>Max Speed</t>
  </si>
  <si>
    <t>Trial only!</t>
  </si>
  <si>
    <t>Rank</t>
  </si>
  <si>
    <t>Count</t>
  </si>
  <si>
    <t>Event was not run due to no one being ready</t>
  </si>
  <si>
    <t>Note: NSF Participant Cost Reimbursement $2000</t>
  </si>
  <si>
    <t>Note: Christensen Family Tool Reimbursement $400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</si>
</sst>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_(&quot;$&quot;* #,##0_);_(&quot;$&quot;* \(#,##0\);_(&quot;$&quot;* &quot;-&quot;??_);_(@_)"/>
    <numFmt numFmtId="169" formatCode="0.000000"/>
    <numFmt numFmtId="170" formatCode="0.0000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3"/>
      <color rgb="FFFF0000"/>
      <name val="Arial"/>
      <family val="2"/>
    </font>
    <font>
      <sz val="11"/>
      <color rgb="FFFF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2" fillId="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</cellStyleXfs>
  <cellXfs count="436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64" fontId="0" fillId="0" borderId="0" xfId="0" applyNumberFormat="1" applyFill="1" applyBorder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/>
    <xf numFmtId="0" fontId="8" fillId="0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1" fillId="0" borderId="0" xfId="0" applyFont="1"/>
    <xf numFmtId="0" fontId="8" fillId="0" borderId="0" xfId="0" applyFont="1" applyAlignment="1" applyProtection="1">
      <alignment horizontal="center"/>
    </xf>
    <xf numFmtId="44" fontId="10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8" fillId="0" borderId="0" xfId="0" applyNumberFormat="1" applyFont="1" applyAlignment="1" applyProtection="1">
      <alignment horizontal="right"/>
    </xf>
    <xf numFmtId="1" fontId="7" fillId="0" borderId="0" xfId="0" applyNumberFormat="1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1" fontId="6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8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8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 applyProtection="1"/>
    <xf numFmtId="0" fontId="12" fillId="0" borderId="0" xfId="0" applyFont="1"/>
    <xf numFmtId="0" fontId="4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166" fontId="0" fillId="0" borderId="0" xfId="0" applyNumberFormat="1" applyFill="1" applyBorder="1" applyProtection="1"/>
    <xf numFmtId="0" fontId="4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1" fontId="6" fillId="0" borderId="0" xfId="0" applyNumberFormat="1" applyFont="1" applyAlignment="1" applyProtection="1">
      <alignment horizontal="center"/>
    </xf>
    <xf numFmtId="165" fontId="6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164" fontId="13" fillId="0" borderId="0" xfId="0" applyNumberFormat="1" applyFont="1" applyFill="1" applyProtection="1"/>
    <xf numFmtId="164" fontId="13" fillId="0" borderId="0" xfId="0" applyNumberFormat="1" applyFont="1" applyFill="1"/>
    <xf numFmtId="164" fontId="13" fillId="0" borderId="0" xfId="0" applyNumberFormat="1" applyFont="1" applyFill="1" applyAlignment="1">
      <alignment horizontal="center"/>
    </xf>
    <xf numFmtId="164" fontId="13" fillId="0" borderId="0" xfId="0" applyNumberFormat="1" applyFont="1" applyFill="1" applyBorder="1" applyProtection="1"/>
    <xf numFmtId="0" fontId="14" fillId="0" borderId="0" xfId="0" applyFont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Protection="1"/>
    <xf numFmtId="2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0" borderId="0" xfId="0" applyFont="1" applyProtection="1"/>
    <xf numFmtId="0" fontId="8" fillId="0" borderId="0" xfId="0" applyFont="1" applyAlignment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1" fontId="8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2" fontId="8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/>
    <xf numFmtId="2" fontId="8" fillId="0" borderId="0" xfId="0" applyNumberFormat="1" applyFont="1" applyFill="1" applyBorder="1" applyProtection="1"/>
    <xf numFmtId="167" fontId="8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8" fillId="0" borderId="0" xfId="0" applyFont="1" applyFill="1" applyBorder="1" applyAlignment="1" applyProtection="1">
      <alignment horizontal="center" wrapText="1"/>
    </xf>
    <xf numFmtId="0" fontId="4" fillId="0" borderId="0" xfId="0" applyFont="1"/>
    <xf numFmtId="0" fontId="6" fillId="0" borderId="0" xfId="0" applyFont="1" applyAlignment="1" applyProtection="1">
      <alignment horizontal="center"/>
    </xf>
    <xf numFmtId="0" fontId="17" fillId="0" borderId="0" xfId="0" applyFont="1" applyProtection="1"/>
    <xf numFmtId="0" fontId="16" fillId="0" borderId="0" xfId="0" applyFont="1" applyProtection="1"/>
    <xf numFmtId="0" fontId="19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67" fontId="17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1" fontId="17" fillId="0" borderId="0" xfId="0" applyNumberFormat="1" applyFont="1" applyFill="1" applyAlignment="1" applyProtection="1">
      <alignment horizontal="center"/>
    </xf>
    <xf numFmtId="1" fontId="17" fillId="0" borderId="0" xfId="0" applyNumberFormat="1" applyFont="1" applyAlignment="1" applyProtection="1">
      <alignment horizontal="center"/>
    </xf>
    <xf numFmtId="164" fontId="21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7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/>
    <xf numFmtId="0" fontId="17" fillId="0" borderId="0" xfId="0" applyFont="1" applyFill="1"/>
    <xf numFmtId="0" fontId="22" fillId="0" borderId="0" xfId="0" applyFont="1" applyFill="1" applyBorder="1" applyAlignment="1" applyProtection="1">
      <alignment horizontal="center"/>
    </xf>
    <xf numFmtId="164" fontId="16" fillId="0" borderId="0" xfId="0" applyNumberFormat="1" applyFont="1" applyAlignment="1" applyProtection="1">
      <alignment horizontal="center"/>
    </xf>
    <xf numFmtId="1" fontId="5" fillId="0" borderId="0" xfId="0" applyNumberFormat="1" applyFont="1" applyProtection="1"/>
    <xf numFmtId="1" fontId="4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4" fillId="0" borderId="0" xfId="0" applyFont="1" applyAlignment="1" applyProtection="1">
      <alignment horizontal="center" wrapText="1"/>
    </xf>
    <xf numFmtId="0" fontId="18" fillId="0" borderId="0" xfId="0" applyFont="1"/>
    <xf numFmtId="164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2" fontId="6" fillId="0" borderId="0" xfId="0" applyNumberFormat="1" applyFont="1" applyAlignment="1" applyProtection="1">
      <alignment horizontal="center"/>
    </xf>
    <xf numFmtId="0" fontId="7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164" fontId="3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applyFont="1"/>
    <xf numFmtId="2" fontId="6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Protection="1"/>
    <xf numFmtId="1" fontId="4" fillId="0" borderId="0" xfId="0" applyNumberFormat="1" applyFont="1" applyFill="1" applyBorder="1" applyAlignment="1" applyProtection="1">
      <alignment horizontal="center"/>
    </xf>
    <xf numFmtId="164" fontId="4" fillId="0" borderId="0" xfId="0" quotePrefix="1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164" fontId="18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Protection="1"/>
    <xf numFmtId="164" fontId="16" fillId="0" borderId="0" xfId="0" applyNumberFormat="1" applyFont="1" applyFill="1" applyBorder="1" applyAlignment="1">
      <alignment horizontal="center"/>
    </xf>
    <xf numFmtId="0" fontId="25" fillId="0" borderId="0" xfId="0" applyFont="1" applyAlignment="1">
      <alignment horizontal="left" indent="12"/>
    </xf>
    <xf numFmtId="164" fontId="8" fillId="0" borderId="0" xfId="0" applyNumberFormat="1" applyFont="1" applyFill="1" applyBorder="1" applyProtection="1"/>
    <xf numFmtId="164" fontId="4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left"/>
    </xf>
    <xf numFmtId="0" fontId="0" fillId="0" borderId="0" xfId="0" applyBorder="1" applyAlignment="1">
      <alignment vertical="top" wrapText="1"/>
    </xf>
    <xf numFmtId="164" fontId="6" fillId="0" borderId="0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Fill="1" applyBorder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21" fillId="0" borderId="0" xfId="0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left"/>
    </xf>
    <xf numFmtId="2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164" fontId="8" fillId="0" borderId="0" xfId="0" applyNumberFormat="1" applyFont="1" applyBorder="1" applyProtection="1"/>
    <xf numFmtId="0" fontId="0" fillId="0" borderId="0" xfId="0" applyBorder="1" applyAlignment="1">
      <alignment horizontal="center" vertical="top" wrapText="1"/>
    </xf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6" fillId="0" borderId="0" xfId="0" applyFont="1" applyFill="1" applyBorder="1" applyAlignment="1" applyProtection="1">
      <alignment horizontal="center" wrapText="1"/>
    </xf>
    <xf numFmtId="2" fontId="0" fillId="0" borderId="0" xfId="0" applyNumberFormat="1" applyAlignment="1" applyProtection="1">
      <alignment horizontal="center"/>
    </xf>
    <xf numFmtId="0" fontId="6" fillId="0" borderId="0" xfId="0" applyFont="1" applyAlignment="1"/>
    <xf numFmtId="0" fontId="4" fillId="0" borderId="0" xfId="0" applyFont="1" applyFill="1" applyBorder="1" applyAlignment="1" applyProtection="1">
      <alignment horizontal="center" wrapText="1"/>
    </xf>
    <xf numFmtId="164" fontId="4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Border="1" applyProtection="1"/>
    <xf numFmtId="0" fontId="6" fillId="0" borderId="0" xfId="0" applyFont="1" applyFill="1" applyBorder="1"/>
    <xf numFmtId="0" fontId="6" fillId="0" borderId="0" xfId="0" applyFont="1" applyBorder="1"/>
    <xf numFmtId="1" fontId="33" fillId="0" borderId="0" xfId="0" applyNumberFormat="1" applyFont="1" applyAlignment="1" applyProtection="1">
      <alignment horizontal="center"/>
    </xf>
    <xf numFmtId="2" fontId="33" fillId="0" borderId="0" xfId="0" applyNumberFormat="1" applyFont="1" applyAlignment="1" applyProtection="1">
      <alignment horizontal="center"/>
    </xf>
    <xf numFmtId="0" fontId="27" fillId="0" borderId="0" xfId="0" applyFont="1"/>
    <xf numFmtId="0" fontId="29" fillId="0" borderId="0" xfId="0" applyFont="1" applyProtection="1"/>
    <xf numFmtId="0" fontId="28" fillId="0" borderId="0" xfId="0" applyFont="1" applyProtection="1"/>
    <xf numFmtId="0" fontId="33" fillId="0" borderId="0" xfId="0" applyFont="1" applyFill="1" applyBorder="1" applyAlignment="1">
      <alignment horizontal="center"/>
    </xf>
    <xf numFmtId="0" fontId="26" fillId="0" borderId="0" xfId="0" applyFont="1"/>
    <xf numFmtId="164" fontId="34" fillId="0" borderId="0" xfId="0" applyNumberFormat="1" applyFont="1" applyAlignment="1" applyProtection="1">
      <alignment horizontal="center"/>
    </xf>
    <xf numFmtId="0" fontId="9" fillId="0" borderId="0" xfId="0" applyFont="1"/>
    <xf numFmtId="0" fontId="33" fillId="0" borderId="0" xfId="0" applyFont="1" applyFill="1" applyBorder="1" applyAlignment="1" applyProtection="1">
      <alignment horizontal="center"/>
    </xf>
    <xf numFmtId="164" fontId="33" fillId="0" borderId="0" xfId="0" applyNumberFormat="1" applyFont="1" applyBorder="1" applyAlignment="1">
      <alignment horizontal="center"/>
    </xf>
    <xf numFmtId="164" fontId="6" fillId="0" borderId="0" xfId="0" applyNumberFormat="1" applyFont="1"/>
    <xf numFmtId="0" fontId="33" fillId="0" borderId="0" xfId="0" applyFont="1"/>
    <xf numFmtId="0" fontId="0" fillId="0" borderId="0" xfId="0" applyFont="1"/>
    <xf numFmtId="164" fontId="0" fillId="0" borderId="0" xfId="0" applyNumberFormat="1" applyFont="1" applyAlignment="1" applyProtection="1">
      <alignment horizontal="center"/>
    </xf>
    <xf numFmtId="0" fontId="0" fillId="0" borderId="0" xfId="0" applyFont="1" applyProtection="1"/>
    <xf numFmtId="164" fontId="0" fillId="0" borderId="0" xfId="0" applyNumberFormat="1" applyFont="1"/>
    <xf numFmtId="164" fontId="6" fillId="0" borderId="1" xfId="0" applyNumberFormat="1" applyFont="1" applyFill="1" applyBorder="1" applyAlignment="1" applyProtection="1">
      <alignment horizontal="center"/>
    </xf>
    <xf numFmtId="0" fontId="35" fillId="0" borderId="0" xfId="0" applyFont="1" applyFill="1" applyBorder="1"/>
    <xf numFmtId="1" fontId="33" fillId="0" borderId="0" xfId="0" applyNumberFormat="1" applyFont="1" applyFill="1" applyAlignment="1" applyProtection="1">
      <alignment horizontal="center"/>
    </xf>
    <xf numFmtId="0" fontId="33" fillId="0" borderId="0" xfId="0" applyFont="1" applyAlignment="1" applyProtection="1">
      <alignment horizontal="center"/>
    </xf>
    <xf numFmtId="0" fontId="3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 wrapText="1"/>
    </xf>
    <xf numFmtId="0" fontId="33" fillId="0" borderId="1" xfId="0" applyFont="1" applyBorder="1"/>
    <xf numFmtId="0" fontId="6" fillId="0" borderId="1" xfId="0" applyFont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30" fillId="0" borderId="1" xfId="0" applyFont="1" applyFill="1" applyBorder="1" applyProtection="1"/>
    <xf numFmtId="0" fontId="31" fillId="0" borderId="1" xfId="0" applyFont="1" applyFill="1" applyBorder="1" applyAlignment="1" applyProtection="1">
      <alignment horizontal="center"/>
    </xf>
    <xf numFmtId="0" fontId="31" fillId="0" borderId="1" xfId="0" applyFont="1" applyBorder="1" applyAlignment="1" applyProtection="1">
      <alignment horizont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44" fontId="8" fillId="0" borderId="0" xfId="2" applyFont="1" applyAlignment="1" applyProtection="1">
      <alignment horizontal="left"/>
    </xf>
    <xf numFmtId="168" fontId="8" fillId="0" borderId="0" xfId="2" applyNumberFormat="1" applyFont="1" applyAlignment="1" applyProtection="1">
      <alignment horizontal="left"/>
    </xf>
    <xf numFmtId="168" fontId="0" fillId="0" borderId="0" xfId="2" applyNumberFormat="1" applyFont="1"/>
    <xf numFmtId="0" fontId="4" fillId="0" borderId="0" xfId="0" applyFont="1" applyAlignment="1">
      <alignment wrapText="1"/>
    </xf>
    <xf numFmtId="165" fontId="18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33" fillId="0" borderId="1" xfId="0" applyNumberFormat="1" applyFont="1" applyBorder="1"/>
    <xf numFmtId="0" fontId="38" fillId="0" borderId="1" xfId="0" applyFont="1" applyBorder="1" applyAlignment="1"/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/>
    <xf numFmtId="164" fontId="38" fillId="0" borderId="1" xfId="0" applyNumberFormat="1" applyFont="1" applyBorder="1" applyAlignment="1">
      <alignment horizontal="center"/>
    </xf>
    <xf numFmtId="164" fontId="37" fillId="0" borderId="1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36" fillId="0" borderId="1" xfId="1" applyFont="1" applyFill="1" applyBorder="1" applyAlignment="1" applyProtection="1">
      <alignment horizontal="center"/>
    </xf>
    <xf numFmtId="1" fontId="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8" fillId="0" borderId="0" xfId="3" applyNumberFormat="1" applyFont="1" applyFill="1" applyBorder="1" applyAlignment="1" applyProtection="1">
      <alignment horizontal="center"/>
    </xf>
    <xf numFmtId="165" fontId="8" fillId="0" borderId="0" xfId="3" applyNumberFormat="1" applyFont="1" applyFill="1" applyBorder="1" applyProtection="1"/>
    <xf numFmtId="0" fontId="8" fillId="0" borderId="0" xfId="3" applyFont="1" applyFill="1" applyBorder="1" applyAlignment="1" applyProtection="1">
      <alignment horizontal="center"/>
    </xf>
    <xf numFmtId="164" fontId="4" fillId="0" borderId="0" xfId="3" applyNumberFormat="1" applyFont="1" applyAlignment="1" applyProtection="1">
      <alignment horizontal="center"/>
    </xf>
    <xf numFmtId="165" fontId="7" fillId="0" borderId="0" xfId="3" applyNumberFormat="1" applyFont="1" applyFill="1" applyBorder="1" applyProtection="1"/>
    <xf numFmtId="0" fontId="3" fillId="0" borderId="0" xfId="3" applyFont="1" applyFill="1" applyBorder="1" applyAlignment="1" applyProtection="1">
      <alignment horizontal="center"/>
    </xf>
    <xf numFmtId="1" fontId="8" fillId="0" borderId="0" xfId="3" applyNumberFormat="1" applyFont="1" applyFill="1" applyBorder="1" applyAlignment="1" applyProtection="1">
      <alignment horizontal="center"/>
    </xf>
    <xf numFmtId="169" fontId="8" fillId="0" borderId="0" xfId="3" applyNumberFormat="1" applyFont="1" applyFill="1" applyBorder="1" applyAlignment="1" applyProtection="1">
      <alignment horizontal="center"/>
    </xf>
    <xf numFmtId="165" fontId="3" fillId="0" borderId="0" xfId="3" applyNumberFormat="1" applyFont="1" applyFill="1" applyBorder="1" applyProtection="1"/>
    <xf numFmtId="165" fontId="36" fillId="0" borderId="0" xfId="1" applyNumberFormat="1" applyFont="1" applyFill="1" applyBorder="1" applyProtection="1"/>
    <xf numFmtId="0" fontId="4" fillId="0" borderId="0" xfId="0" applyFont="1" applyAlignment="1">
      <alignment horizontal="center" wrapText="1"/>
    </xf>
    <xf numFmtId="0" fontId="0" fillId="0" borderId="1" xfId="0" applyBorder="1"/>
    <xf numFmtId="0" fontId="39" fillId="0" borderId="0" xfId="5" applyFont="1"/>
    <xf numFmtId="0" fontId="34" fillId="0" borderId="0" xfId="5" applyFont="1" applyFill="1" applyBorder="1" applyAlignment="1">
      <alignment horizontal="left"/>
    </xf>
    <xf numFmtId="0" fontId="3" fillId="0" borderId="0" xfId="5" applyFont="1"/>
    <xf numFmtId="165" fontId="8" fillId="0" borderId="0" xfId="5" applyNumberFormat="1" applyFont="1" applyFill="1" applyBorder="1" applyProtection="1"/>
    <xf numFmtId="165" fontId="7" fillId="0" borderId="0" xfId="5" applyNumberFormat="1" applyFont="1" applyFill="1" applyBorder="1" applyProtection="1"/>
    <xf numFmtId="165" fontId="36" fillId="0" borderId="0" xfId="1" applyNumberFormat="1" applyFont="1" applyFill="1" applyBorder="1" applyProtection="1"/>
    <xf numFmtId="164" fontId="3" fillId="0" borderId="0" xfId="0" applyNumberFormat="1" applyFont="1" applyFill="1" applyBorder="1" applyAlignment="1">
      <alignment horizontal="left"/>
    </xf>
    <xf numFmtId="164" fontId="8" fillId="0" borderId="0" xfId="5" applyNumberFormat="1" applyFont="1" applyFill="1" applyBorder="1" applyAlignment="1" applyProtection="1">
      <alignment horizontal="center"/>
    </xf>
    <xf numFmtId="164" fontId="4" fillId="0" borderId="0" xfId="5" applyNumberFormat="1" applyFont="1" applyAlignment="1" applyProtection="1">
      <alignment horizontal="center"/>
    </xf>
    <xf numFmtId="2" fontId="8" fillId="0" borderId="0" xfId="5" applyNumberFormat="1" applyFont="1" applyFill="1" applyBorder="1" applyAlignment="1" applyProtection="1">
      <alignment horizontal="center"/>
    </xf>
    <xf numFmtId="1" fontId="8" fillId="0" borderId="0" xfId="5" applyNumberFormat="1" applyFont="1" applyFill="1" applyBorder="1" applyAlignment="1" applyProtection="1">
      <alignment horizontal="center"/>
    </xf>
    <xf numFmtId="0" fontId="39" fillId="0" borderId="0" xfId="5" applyFont="1"/>
    <xf numFmtId="2" fontId="8" fillId="0" borderId="0" xfId="2" applyNumberFormat="1" applyFont="1" applyFill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left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5"/>
    <xf numFmtId="2" fontId="3" fillId="0" borderId="0" xfId="5" applyNumberFormat="1" applyBorder="1" applyAlignment="1" applyProtection="1">
      <alignment horizontal="center"/>
    </xf>
    <xf numFmtId="0" fontId="3" fillId="0" borderId="0" xfId="5" applyFont="1" applyFill="1" applyBorder="1"/>
    <xf numFmtId="2" fontId="3" fillId="0" borderId="0" xfId="5" applyNumberFormat="1" applyBorder="1" applyAlignment="1" applyProtection="1">
      <alignment horizontal="center"/>
    </xf>
    <xf numFmtId="0" fontId="3" fillId="0" borderId="0" xfId="5" applyFont="1" applyFill="1" applyBorder="1" applyAlignment="1">
      <alignment horizontal="center"/>
    </xf>
    <xf numFmtId="0" fontId="4" fillId="0" borderId="0" xfId="5" applyFont="1" applyBorder="1" applyAlignment="1" applyProtection="1">
      <alignment horizontal="center" wrapText="1"/>
    </xf>
    <xf numFmtId="164" fontId="4" fillId="0" borderId="0" xfId="5" applyNumberFormat="1" applyFont="1" applyBorder="1" applyAlignment="1" applyProtection="1">
      <alignment horizontal="center"/>
    </xf>
    <xf numFmtId="2" fontId="4" fillId="0" borderId="0" xfId="5" applyNumberFormat="1" applyFont="1" applyAlignment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vertical="top" wrapText="1"/>
    </xf>
    <xf numFmtId="0" fontId="3" fillId="0" borderId="0" xfId="5"/>
    <xf numFmtId="0" fontId="3" fillId="0" borderId="0" xfId="5" applyBorder="1"/>
    <xf numFmtId="0" fontId="3" fillId="0" borderId="0" xfId="5" applyFill="1" applyBorder="1"/>
    <xf numFmtId="1" fontId="3" fillId="0" borderId="0" xfId="5" applyNumberFormat="1" applyBorder="1" applyAlignment="1" applyProtection="1">
      <alignment horizontal="center"/>
    </xf>
    <xf numFmtId="2" fontId="3" fillId="0" borderId="0" xfId="5" applyNumberFormat="1" applyBorder="1" applyAlignment="1" applyProtection="1">
      <alignment horizontal="center"/>
    </xf>
    <xf numFmtId="164" fontId="4" fillId="0" borderId="0" xfId="5" applyNumberFormat="1" applyFont="1" applyBorder="1" applyAlignment="1" applyProtection="1">
      <alignment horizontal="center"/>
    </xf>
    <xf numFmtId="0" fontId="3" fillId="0" borderId="0" xfId="5" applyFont="1" applyAlignment="1">
      <alignment horizontal="right"/>
    </xf>
    <xf numFmtId="164" fontId="4" fillId="0" borderId="0" xfId="5" quotePrefix="1" applyNumberFormat="1" applyFont="1" applyBorder="1" applyAlignment="1" applyProtection="1">
      <alignment horizontal="center"/>
    </xf>
    <xf numFmtId="0" fontId="3" fillId="0" borderId="0" xfId="5" applyFont="1" applyFill="1" applyBorder="1"/>
    <xf numFmtId="164" fontId="3" fillId="0" borderId="1" xfId="5" applyNumberFormat="1" applyFont="1" applyFill="1" applyBorder="1" applyAlignment="1" applyProtection="1">
      <alignment horizontal="center"/>
    </xf>
    <xf numFmtId="164" fontId="34" fillId="0" borderId="0" xfId="5" applyNumberFormat="1" applyFont="1" applyBorder="1" applyAlignment="1" applyProtection="1">
      <alignment horizontal="center"/>
    </xf>
    <xf numFmtId="0" fontId="33" fillId="0" borderId="0" xfId="5" applyFont="1" applyBorder="1"/>
    <xf numFmtId="0" fontId="33" fillId="0" borderId="0" xfId="5" applyFont="1" applyFill="1" applyBorder="1"/>
    <xf numFmtId="1" fontId="34" fillId="0" borderId="0" xfId="5" applyNumberFormat="1" applyFont="1" applyBorder="1" applyAlignment="1" applyProtection="1">
      <alignment horizontal="center"/>
    </xf>
    <xf numFmtId="1" fontId="3" fillId="0" borderId="0" xfId="5" applyNumberFormat="1" applyFont="1" applyBorder="1" applyAlignment="1" applyProtection="1">
      <alignment horizontal="center"/>
    </xf>
    <xf numFmtId="2" fontId="3" fillId="0" borderId="1" xfId="5" applyNumberFormat="1" applyBorder="1" applyAlignment="1" applyProtection="1">
      <alignment horizontal="center"/>
    </xf>
    <xf numFmtId="164" fontId="4" fillId="0" borderId="1" xfId="5" applyNumberFormat="1" applyFont="1" applyBorder="1" applyAlignment="1" applyProtection="1">
      <alignment horizontal="center"/>
    </xf>
    <xf numFmtId="1" fontId="3" fillId="0" borderId="0" xfId="5" applyNumberFormat="1" applyFont="1" applyBorder="1" applyAlignment="1" applyProtection="1">
      <alignment horizontal="right"/>
    </xf>
    <xf numFmtId="2" fontId="3" fillId="0" borderId="1" xfId="5" applyNumberFormat="1" applyFont="1" applyBorder="1" applyAlignment="1" applyProtection="1">
      <alignment horizontal="center"/>
    </xf>
    <xf numFmtId="2" fontId="3" fillId="0" borderId="0" xfId="5" applyNumberFormat="1" applyFont="1" applyBorder="1" applyAlignment="1" applyProtection="1">
      <alignment horizontal="left"/>
    </xf>
    <xf numFmtId="164" fontId="3" fillId="0" borderId="0" xfId="5" applyNumberFormat="1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170" fontId="3" fillId="0" borderId="0" xfId="0" applyNumberFormat="1" applyFont="1" applyFill="1" applyBorder="1" applyAlignment="1" applyProtection="1">
      <alignment horizontal="center"/>
    </xf>
    <xf numFmtId="0" fontId="36" fillId="0" borderId="1" xfId="1" applyFont="1" applyFill="1" applyBorder="1" applyAlignment="1">
      <alignment horizontal="center"/>
    </xf>
    <xf numFmtId="164" fontId="1" fillId="0" borderId="1" xfId="1" applyNumberFormat="1" applyFont="1" applyFill="1" applyBorder="1" applyAlignment="1" applyProtection="1">
      <alignment horizontal="center"/>
    </xf>
    <xf numFmtId="0" fontId="36" fillId="0" borderId="1" xfId="0" applyFont="1" applyBorder="1" applyAlignment="1">
      <alignment horizontal="center" wrapText="1"/>
    </xf>
    <xf numFmtId="1" fontId="41" fillId="0" borderId="1" xfId="0" applyNumberFormat="1" applyFont="1" applyFill="1" applyBorder="1" applyAlignment="1" applyProtection="1">
      <alignment horizontal="center"/>
    </xf>
    <xf numFmtId="0" fontId="4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6" fillId="3" borderId="1" xfId="1" applyNumberFormat="1" applyFont="1" applyFill="1" applyBorder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2" fontId="3" fillId="0" borderId="0" xfId="0" applyNumberFormat="1" applyFont="1" applyAlignment="1" applyProtection="1">
      <alignment horizontal="center"/>
    </xf>
    <xf numFmtId="164" fontId="36" fillId="3" borderId="1" xfId="1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</xf>
    <xf numFmtId="1" fontId="3" fillId="0" borderId="0" xfId="0" applyNumberFormat="1" applyFont="1" applyAlignment="1" applyProtection="1">
      <alignment horizontal="center"/>
    </xf>
    <xf numFmtId="0" fontId="26" fillId="0" borderId="0" xfId="0" applyFont="1" applyAlignment="1">
      <alignment horizontal="left"/>
    </xf>
    <xf numFmtId="0" fontId="27" fillId="0" borderId="1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Alignment="1">
      <alignment vertical="top" wrapText="1"/>
    </xf>
    <xf numFmtId="165" fontId="4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44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0" fillId="0" borderId="1" xfId="0" applyBorder="1" applyProtection="1"/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164" fontId="3" fillId="0" borderId="1" xfId="0" applyNumberFormat="1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0" fontId="44" fillId="0" borderId="1" xfId="0" applyFont="1" applyBorder="1" applyAlignment="1">
      <alignment horizontal="center" wrapText="1"/>
    </xf>
    <xf numFmtId="164" fontId="43" fillId="3" borderId="1" xfId="1" applyNumberFormat="1" applyFont="1" applyFill="1" applyBorder="1" applyAlignment="1">
      <alignment horizontal="center"/>
    </xf>
    <xf numFmtId="164" fontId="43" fillId="3" borderId="1" xfId="1" applyNumberFormat="1" applyFont="1" applyFill="1" applyBorder="1" applyAlignment="1" applyProtection="1">
      <alignment horizontal="center"/>
    </xf>
    <xf numFmtId="164" fontId="33" fillId="0" borderId="1" xfId="0" applyNumberFormat="1" applyFont="1" applyFill="1" applyBorder="1" applyAlignment="1" applyProtection="1">
      <alignment horizontal="center"/>
    </xf>
    <xf numFmtId="2" fontId="3" fillId="0" borderId="0" xfId="2" applyNumberFormat="1" applyFont="1" applyAlignment="1">
      <alignment horizontal="center"/>
    </xf>
    <xf numFmtId="2" fontId="36" fillId="3" borderId="1" xfId="1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2" fillId="0" borderId="1" xfId="1" applyFont="1" applyFill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164" fontId="36" fillId="0" borderId="1" xfId="1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wrapText="1"/>
    </xf>
    <xf numFmtId="164" fontId="8" fillId="0" borderId="1" xfId="0" applyNumberFormat="1" applyFont="1" applyFill="1" applyBorder="1" applyAlignment="1" applyProtection="1">
      <alignment horizontal="center" wrapText="1"/>
    </xf>
    <xf numFmtId="165" fontId="4" fillId="0" borderId="1" xfId="2" applyNumberFormat="1" applyFont="1" applyBorder="1" applyAlignment="1">
      <alignment horizontal="right"/>
    </xf>
    <xf numFmtId="165" fontId="4" fillId="0" borderId="1" xfId="0" applyNumberFormat="1" applyFont="1" applyBorder="1"/>
    <xf numFmtId="165" fontId="4" fillId="0" borderId="1" xfId="2" applyNumberFormat="1" applyFont="1" applyBorder="1"/>
    <xf numFmtId="0" fontId="3" fillId="0" borderId="1" xfId="0" applyFont="1" applyBorder="1" applyAlignment="1">
      <alignment horizontal="center"/>
    </xf>
    <xf numFmtId="2" fontId="36" fillId="0" borderId="1" xfId="1" applyNumberFormat="1" applyFont="1" applyFill="1" applyBorder="1" applyAlignment="1" applyProtection="1">
      <alignment horizontal="center"/>
    </xf>
    <xf numFmtId="164" fontId="45" fillId="0" borderId="1" xfId="1" applyNumberFormat="1" applyFont="1" applyFill="1" applyBorder="1" applyAlignment="1" applyProtection="1">
      <alignment horizontal="center"/>
    </xf>
    <xf numFmtId="0" fontId="27" fillId="0" borderId="0" xfId="0" applyFont="1" applyAlignment="1">
      <alignment horizontal="center"/>
    </xf>
    <xf numFmtId="0" fontId="26" fillId="0" borderId="0" xfId="5" applyFont="1"/>
    <xf numFmtId="0" fontId="3" fillId="0" borderId="0" xfId="0" applyFont="1" applyBorder="1" applyAlignment="1">
      <alignment horizontal="center"/>
    </xf>
    <xf numFmtId="166" fontId="6" fillId="0" borderId="0" xfId="0" applyNumberFormat="1" applyFont="1" applyAlignment="1" applyProtection="1">
      <alignment horizontal="center"/>
    </xf>
    <xf numFmtId="166" fontId="8" fillId="0" borderId="0" xfId="0" applyNumberFormat="1" applyFont="1" applyAlignment="1" applyProtection="1">
      <alignment horizontal="center"/>
    </xf>
    <xf numFmtId="0" fontId="46" fillId="4" borderId="1" xfId="0" applyFont="1" applyFill="1" applyBorder="1" applyAlignment="1">
      <alignment wrapText="1"/>
    </xf>
    <xf numFmtId="0" fontId="47" fillId="4" borderId="1" xfId="0" applyFont="1" applyFill="1" applyBorder="1" applyAlignment="1">
      <alignment wrapText="1"/>
    </xf>
    <xf numFmtId="2" fontId="43" fillId="0" borderId="1" xfId="1" applyNumberFormat="1" applyFont="1" applyFill="1" applyBorder="1" applyAlignment="1" applyProtection="1">
      <alignment horizontal="center"/>
    </xf>
    <xf numFmtId="0" fontId="39" fillId="0" borderId="1" xfId="1" applyNumberFormat="1" applyFont="1" applyFill="1" applyBorder="1" applyAlignment="1">
      <alignment horizontal="center"/>
    </xf>
    <xf numFmtId="0" fontId="43" fillId="0" borderId="1" xfId="1" applyFont="1" applyFill="1" applyBorder="1" applyAlignment="1" applyProtection="1">
      <alignment horizontal="center"/>
    </xf>
    <xf numFmtId="0" fontId="48" fillId="4" borderId="1" xfId="0" applyFont="1" applyFill="1" applyBorder="1" applyAlignment="1">
      <alignment wrapText="1"/>
    </xf>
    <xf numFmtId="0" fontId="49" fillId="4" borderId="1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horizontal="left" wrapText="1"/>
    </xf>
    <xf numFmtId="164" fontId="50" fillId="5" borderId="1" xfId="0" applyNumberFormat="1" applyFont="1" applyFill="1" applyBorder="1" applyAlignment="1">
      <alignment horizontal="center"/>
    </xf>
    <xf numFmtId="164" fontId="50" fillId="5" borderId="3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wrapText="1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65" fontId="8" fillId="0" borderId="0" xfId="2" applyNumberFormat="1" applyFont="1" applyFill="1" applyBorder="1" applyAlignment="1" applyProtection="1"/>
    <xf numFmtId="165" fontId="3" fillId="0" borderId="0" xfId="2" applyNumberFormat="1" applyFont="1" applyAlignment="1"/>
    <xf numFmtId="1" fontId="51" fillId="0" borderId="0" xfId="0" applyNumberFormat="1" applyFont="1" applyAlignment="1">
      <alignment horizontal="center"/>
    </xf>
    <xf numFmtId="1" fontId="50" fillId="0" borderId="1" xfId="0" applyNumberFormat="1" applyFont="1" applyBorder="1" applyAlignment="1">
      <alignment horizontal="center"/>
    </xf>
    <xf numFmtId="1" fontId="50" fillId="0" borderId="4" xfId="0" applyNumberFormat="1" applyFont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2" fontId="52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50" fillId="0" borderId="4" xfId="0" applyNumberFormat="1" applyFont="1" applyBorder="1" applyAlignment="1">
      <alignment horizontal="center"/>
    </xf>
    <xf numFmtId="2" fontId="52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50" fillId="0" borderId="3" xfId="0" applyNumberFormat="1" applyFont="1" applyBorder="1" applyAlignment="1">
      <alignment horizontal="center"/>
    </xf>
    <xf numFmtId="0" fontId="34" fillId="0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4" fillId="0" borderId="0" xfId="0" applyFont="1" applyAlignment="1">
      <alignment horizontal="left"/>
    </xf>
    <xf numFmtId="2" fontId="44" fillId="3" borderId="1" xfId="1" applyNumberFormat="1" applyFont="1" applyFill="1" applyBorder="1" applyAlignment="1">
      <alignment horizontal="center"/>
    </xf>
    <xf numFmtId="0" fontId="37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" fontId="42" fillId="0" borderId="0" xfId="1" applyNumberFormat="1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27" fillId="0" borderId="1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</cellXfs>
  <cellStyles count="6">
    <cellStyle name="Bad" xfId="1" builtinId="27"/>
    <cellStyle name="Currency" xfId="2" builtinId="4"/>
    <cellStyle name="Normal" xfId="0" builtinId="0"/>
    <cellStyle name="Normal 2" xfId="4"/>
    <cellStyle name="Normal 3" xfId="5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86275"/>
          <a:ext cx="952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tabSelected="1" zoomScale="80" workbookViewId="0">
      <selection activeCell="A23" sqref="A23"/>
    </sheetView>
  </sheetViews>
  <sheetFormatPr defaultRowHeight="13.2"/>
  <cols>
    <col min="1" max="1" width="45.6640625" customWidth="1"/>
    <col min="2" max="2" width="14.6640625" customWidth="1"/>
    <col min="3" max="3" width="11.88671875" customWidth="1"/>
    <col min="4" max="4" width="10.5546875" customWidth="1"/>
    <col min="5" max="5" width="12.88671875" customWidth="1"/>
    <col min="6" max="6" width="12.44140625" customWidth="1"/>
    <col min="8" max="8" width="11.5546875" customWidth="1"/>
    <col min="9" max="10" width="15.33203125" customWidth="1"/>
    <col min="11" max="11" width="12.88671875" customWidth="1"/>
    <col min="12" max="12" width="9.33203125" customWidth="1"/>
    <col min="13" max="13" width="11.109375" customWidth="1"/>
    <col min="14" max="14" width="10.33203125" style="3" customWidth="1"/>
    <col min="15" max="15" width="13.33203125" customWidth="1"/>
  </cols>
  <sheetData>
    <row r="1" spans="1:18" ht="17.399999999999999">
      <c r="A1" s="7" t="s">
        <v>116</v>
      </c>
      <c r="B1" s="6"/>
      <c r="C1" s="6"/>
      <c r="D1" s="6"/>
      <c r="E1" s="6"/>
      <c r="F1" s="6"/>
      <c r="G1" s="37"/>
      <c r="H1" s="6"/>
      <c r="I1" s="6"/>
      <c r="J1" s="6"/>
      <c r="K1" s="6"/>
      <c r="L1" s="6"/>
      <c r="M1" s="6"/>
      <c r="N1" s="18"/>
    </row>
    <row r="2" spans="1:18">
      <c r="A2" s="6"/>
      <c r="B2" s="5" t="s">
        <v>13</v>
      </c>
      <c r="C2" s="5" t="s">
        <v>2</v>
      </c>
      <c r="D2" s="6"/>
      <c r="E2" s="10" t="s">
        <v>27</v>
      </c>
      <c r="F2" s="5" t="s">
        <v>25</v>
      </c>
      <c r="G2" s="37"/>
      <c r="H2" s="6"/>
      <c r="I2" s="5" t="s">
        <v>64</v>
      </c>
      <c r="J2" s="5" t="s">
        <v>65</v>
      </c>
      <c r="K2" s="5" t="s">
        <v>53</v>
      </c>
      <c r="L2" s="5" t="s">
        <v>23</v>
      </c>
      <c r="M2" s="10" t="s">
        <v>40</v>
      </c>
      <c r="N2" s="152"/>
      <c r="O2" s="26"/>
    </row>
    <row r="3" spans="1:18">
      <c r="A3" s="6"/>
      <c r="B3" s="5" t="s">
        <v>3</v>
      </c>
      <c r="C3" s="5" t="s">
        <v>26</v>
      </c>
      <c r="D3" s="5" t="s">
        <v>41</v>
      </c>
      <c r="E3" s="5" t="s">
        <v>0</v>
      </c>
      <c r="F3" s="35" t="s">
        <v>51</v>
      </c>
      <c r="G3" s="5" t="s">
        <v>1</v>
      </c>
      <c r="H3" s="5" t="s">
        <v>20</v>
      </c>
      <c r="I3" s="2" t="s">
        <v>0</v>
      </c>
      <c r="J3" s="2" t="s">
        <v>66</v>
      </c>
      <c r="K3" s="5" t="s">
        <v>54</v>
      </c>
      <c r="L3" s="5" t="s">
        <v>24</v>
      </c>
      <c r="M3" s="5" t="s">
        <v>39</v>
      </c>
      <c r="N3" s="5" t="s">
        <v>34</v>
      </c>
      <c r="R3" s="5"/>
    </row>
    <row r="4" spans="1:18" ht="16.8">
      <c r="A4" s="395" t="s">
        <v>111</v>
      </c>
      <c r="B4" s="60">
        <f>Paper!C28</f>
        <v>66.888888888888886</v>
      </c>
      <c r="C4" s="60">
        <f>Static!B4</f>
        <v>50</v>
      </c>
      <c r="D4" s="60">
        <f>MSRP!K6</f>
        <v>44.792034845955968</v>
      </c>
      <c r="E4" s="60">
        <f>'Subjective Handling'!K4</f>
        <v>41.375</v>
      </c>
      <c r="F4" s="79">
        <f>Range!C6</f>
        <v>0</v>
      </c>
      <c r="G4" s="60">
        <f>Oral!AB4</f>
        <v>62.857142857142854</v>
      </c>
      <c r="H4" s="79">
        <f>Noise!G6</f>
        <v>150</v>
      </c>
      <c r="I4" s="249">
        <f>'Objective Handling'!E6</f>
        <v>50.000000000000007</v>
      </c>
      <c r="J4" s="249">
        <f>'Acceleration+Load'!E6</f>
        <v>50</v>
      </c>
      <c r="K4" s="60">
        <v>0</v>
      </c>
      <c r="L4" s="60">
        <v>0</v>
      </c>
      <c r="M4" s="60">
        <f>'Penalties and Bonuses'!J4</f>
        <v>-30</v>
      </c>
      <c r="N4" s="279">
        <f>'Vehicle Weights'!G5</f>
        <v>100</v>
      </c>
      <c r="R4" s="60"/>
    </row>
    <row r="5" spans="1:18" ht="18.600000000000001" customHeight="1">
      <c r="A5" s="400" t="s">
        <v>130</v>
      </c>
      <c r="B5" s="60">
        <f>Paper!D28</f>
        <v>69.166666666666671</v>
      </c>
      <c r="C5" s="60">
        <f>Static!B5</f>
        <v>0</v>
      </c>
      <c r="D5" s="60">
        <f>MSRP!K7</f>
        <v>0</v>
      </c>
      <c r="E5" s="60">
        <f>'Subjective Handling'!K5</f>
        <v>0</v>
      </c>
      <c r="F5" s="79">
        <f>Range!C7</f>
        <v>0</v>
      </c>
      <c r="G5" s="60">
        <f>Oral!AB5</f>
        <v>0</v>
      </c>
      <c r="H5" s="79">
        <v>0</v>
      </c>
      <c r="I5" s="249">
        <v>0</v>
      </c>
      <c r="J5" s="249">
        <f>'Acceleration+Load'!E7</f>
        <v>0</v>
      </c>
      <c r="K5" s="60">
        <v>0</v>
      </c>
      <c r="L5" s="60">
        <v>0</v>
      </c>
      <c r="M5" s="60">
        <f>'Penalties and Bonuses'!J5</f>
        <v>0</v>
      </c>
      <c r="N5" s="279">
        <f>'Vehicle Weights'!G6</f>
        <v>0</v>
      </c>
      <c r="R5" s="60"/>
    </row>
    <row r="6" spans="1:18" ht="16.8">
      <c r="A6" s="400" t="s">
        <v>133</v>
      </c>
      <c r="B6" s="60">
        <f>Paper!E28</f>
        <v>32.714285714285715</v>
      </c>
      <c r="C6" s="60">
        <f>Static!B6</f>
        <v>0</v>
      </c>
      <c r="D6" s="60">
        <f>MSRP!K8</f>
        <v>15.255360721687003</v>
      </c>
      <c r="E6" s="60">
        <f>'Subjective Handling'!K6</f>
        <v>0</v>
      </c>
      <c r="F6" s="79">
        <f>Range!C8</f>
        <v>0</v>
      </c>
      <c r="G6" s="60">
        <f>Oral!AB6</f>
        <v>26.214285714285715</v>
      </c>
      <c r="H6" s="79">
        <v>0</v>
      </c>
      <c r="I6" s="249">
        <v>0</v>
      </c>
      <c r="J6" s="249">
        <f>'Acceleration+Load'!E8</f>
        <v>0</v>
      </c>
      <c r="K6" s="60">
        <v>0</v>
      </c>
      <c r="L6" s="60">
        <v>0</v>
      </c>
      <c r="M6" s="60">
        <f>'Penalties and Bonuses'!J6</f>
        <v>-20</v>
      </c>
      <c r="N6" s="279">
        <f>'Vehicle Weights'!G7</f>
        <v>0</v>
      </c>
      <c r="R6" s="60"/>
    </row>
    <row r="7" spans="1:18" ht="16.8">
      <c r="A7" s="395" t="s">
        <v>113</v>
      </c>
      <c r="B7" s="60">
        <f>Paper!F28</f>
        <v>62.777777777777779</v>
      </c>
      <c r="C7" s="60">
        <f>Static!B7</f>
        <v>50</v>
      </c>
      <c r="D7" s="60">
        <f>MSRP!K9</f>
        <v>20</v>
      </c>
      <c r="E7" s="60">
        <f>'Subjective Handling'!K7</f>
        <v>0</v>
      </c>
      <c r="F7" s="79">
        <f>Range!C9</f>
        <v>0</v>
      </c>
      <c r="G7" s="60">
        <f>Oral!AB7</f>
        <v>57.571428571428569</v>
      </c>
      <c r="H7" s="79">
        <v>0</v>
      </c>
      <c r="I7" s="249">
        <v>0</v>
      </c>
      <c r="J7" s="249">
        <f>'Acceleration+Load'!E9</f>
        <v>0</v>
      </c>
      <c r="K7" s="60">
        <v>0</v>
      </c>
      <c r="L7" s="60">
        <v>0</v>
      </c>
      <c r="M7" s="60">
        <f>'Penalties and Bonuses'!J7</f>
        <v>0</v>
      </c>
      <c r="N7" s="279">
        <f>'Vehicle Weights'!G8</f>
        <v>0</v>
      </c>
      <c r="R7" s="60"/>
    </row>
    <row r="8" spans="1:18" ht="16.8">
      <c r="A8" s="400" t="s">
        <v>131</v>
      </c>
      <c r="B8" s="60">
        <f>Paper!G28</f>
        <v>38.799999999999997</v>
      </c>
      <c r="C8" s="60">
        <f>Static!B8</f>
        <v>0</v>
      </c>
      <c r="D8" s="60">
        <f>MSRP!K10</f>
        <v>0</v>
      </c>
      <c r="E8" s="60">
        <f>'Subjective Handling'!K8</f>
        <v>0</v>
      </c>
      <c r="F8" s="79">
        <f>Range!C10</f>
        <v>0</v>
      </c>
      <c r="G8" s="60">
        <f>Oral!AB8</f>
        <v>0</v>
      </c>
      <c r="H8" s="79">
        <v>0</v>
      </c>
      <c r="I8" s="249">
        <v>0</v>
      </c>
      <c r="J8" s="249">
        <f>'Acceleration+Load'!E10</f>
        <v>0</v>
      </c>
      <c r="K8" s="60">
        <v>0</v>
      </c>
      <c r="L8" s="60">
        <v>0</v>
      </c>
      <c r="M8" s="60">
        <f>'Penalties and Bonuses'!J8</f>
        <v>0</v>
      </c>
      <c r="N8" s="279">
        <f>'Vehicle Weights'!G9</f>
        <v>0</v>
      </c>
      <c r="R8" s="60"/>
    </row>
    <row r="9" spans="1:18" ht="16.8">
      <c r="A9" s="395" t="s">
        <v>114</v>
      </c>
      <c r="B9" s="60">
        <f>Paper!H28</f>
        <v>53.142857142857146</v>
      </c>
      <c r="C9" s="60">
        <f>Static!B9</f>
        <v>50</v>
      </c>
      <c r="D9" s="60">
        <f>MSRP!K11</f>
        <v>0</v>
      </c>
      <c r="E9" s="60">
        <f>'Subjective Handling'!K9</f>
        <v>0</v>
      </c>
      <c r="F9" s="79">
        <f>Range!C11</f>
        <v>0</v>
      </c>
      <c r="G9" s="60">
        <f>Oral!AB9</f>
        <v>49.952380952380949</v>
      </c>
      <c r="H9" s="79">
        <v>0</v>
      </c>
      <c r="I9" s="249">
        <v>0</v>
      </c>
      <c r="J9" s="249">
        <f>'Acceleration+Load'!E11</f>
        <v>0</v>
      </c>
      <c r="K9" s="60">
        <v>0</v>
      </c>
      <c r="L9" s="60">
        <v>0</v>
      </c>
      <c r="M9" s="60">
        <f>'Penalties and Bonuses'!J9</f>
        <v>0</v>
      </c>
      <c r="N9" s="279">
        <f>'Vehicle Weights'!G10</f>
        <v>0</v>
      </c>
      <c r="R9" s="60"/>
    </row>
    <row r="10" spans="1:18" ht="16.8">
      <c r="A10" s="395" t="s">
        <v>115</v>
      </c>
      <c r="B10" s="60">
        <f>Paper!I28</f>
        <v>50.222222222222221</v>
      </c>
      <c r="C10" s="60">
        <f>Static!B10</f>
        <v>50</v>
      </c>
      <c r="D10" s="60">
        <f>MSRP!K12</f>
        <v>43</v>
      </c>
      <c r="E10" s="60">
        <f>'Subjective Handling'!K10</f>
        <v>0</v>
      </c>
      <c r="F10" s="79">
        <f>Range!C12</f>
        <v>0</v>
      </c>
      <c r="G10" s="60">
        <f>Oral!AB10</f>
        <v>18.69047619047619</v>
      </c>
      <c r="H10" s="79">
        <v>0</v>
      </c>
      <c r="I10" s="249">
        <f>'Objective Handling'!E12</f>
        <v>0</v>
      </c>
      <c r="J10" s="249">
        <f>'Acceleration+Load'!E12</f>
        <v>0</v>
      </c>
      <c r="K10" s="60">
        <v>0</v>
      </c>
      <c r="L10" s="60">
        <v>0</v>
      </c>
      <c r="M10" s="60">
        <f>'Penalties and Bonuses'!J10</f>
        <v>-50</v>
      </c>
      <c r="N10" s="279">
        <f>'Vehicle Weights'!G11</f>
        <v>0</v>
      </c>
      <c r="R10" s="60"/>
    </row>
    <row r="11" spans="1:18">
      <c r="A11" s="133"/>
      <c r="B11" s="58" t="s">
        <v>25</v>
      </c>
      <c r="C11" s="58" t="s">
        <v>25</v>
      </c>
      <c r="D11" s="58" t="s">
        <v>25</v>
      </c>
      <c r="E11" s="58" t="s">
        <v>25</v>
      </c>
      <c r="F11" s="58" t="s">
        <v>25</v>
      </c>
      <c r="G11" s="58" t="s">
        <v>25</v>
      </c>
      <c r="H11" s="58" t="s">
        <v>25</v>
      </c>
      <c r="I11" s="58" t="s">
        <v>25</v>
      </c>
      <c r="J11" s="58" t="s">
        <v>25</v>
      </c>
      <c r="K11" s="58" t="s">
        <v>25</v>
      </c>
      <c r="L11" s="58" t="s">
        <v>25</v>
      </c>
      <c r="M11" s="58" t="s">
        <v>25</v>
      </c>
      <c r="N11" s="348" t="s">
        <v>25</v>
      </c>
      <c r="R11" s="60"/>
    </row>
    <row r="12" spans="1:18" s="143" customFormat="1">
      <c r="A12" s="133"/>
      <c r="B12" s="53"/>
      <c r="C12" s="174"/>
      <c r="D12" s="174"/>
      <c r="E12" s="174"/>
      <c r="F12" s="29"/>
      <c r="G12" s="53"/>
      <c r="H12" s="60"/>
      <c r="I12" s="61"/>
      <c r="J12" s="61"/>
      <c r="K12" s="53"/>
      <c r="L12" s="53"/>
      <c r="M12" s="53"/>
      <c r="N12" s="280"/>
      <c r="O12" s="178"/>
      <c r="R12" s="157"/>
    </row>
    <row r="13" spans="1:18">
      <c r="A13" s="133"/>
      <c r="B13" s="53"/>
      <c r="C13" s="174"/>
      <c r="D13" s="174"/>
      <c r="E13" s="174"/>
      <c r="F13" s="29"/>
      <c r="G13" s="53"/>
      <c r="H13" s="60"/>
      <c r="I13" s="61"/>
      <c r="J13" s="61"/>
      <c r="K13" s="53"/>
      <c r="L13" s="53"/>
      <c r="M13" s="53"/>
      <c r="N13" s="280"/>
    </row>
    <row r="14" spans="1:18">
      <c r="A14" s="133"/>
      <c r="B14" s="53"/>
      <c r="C14" s="174"/>
      <c r="D14" s="174"/>
      <c r="E14" s="174"/>
      <c r="F14" s="29"/>
      <c r="G14" s="53"/>
      <c r="H14" s="60"/>
      <c r="I14" s="61"/>
      <c r="J14" s="61"/>
      <c r="K14" s="53"/>
      <c r="L14" s="53"/>
      <c r="M14" s="53"/>
      <c r="N14" s="280"/>
    </row>
    <row r="15" spans="1:18">
      <c r="A15" s="133"/>
      <c r="B15" s="53"/>
      <c r="C15" s="174"/>
      <c r="D15" s="174"/>
      <c r="E15" s="174"/>
      <c r="F15" s="29"/>
      <c r="G15" s="174" t="s">
        <v>104</v>
      </c>
      <c r="H15" s="265">
        <v>1000</v>
      </c>
      <c r="I15" s="61"/>
      <c r="J15" s="61"/>
      <c r="K15" s="53"/>
      <c r="L15" s="53"/>
      <c r="M15" s="53"/>
      <c r="N15" s="280"/>
    </row>
    <row r="16" spans="1:18">
      <c r="A16" s="133"/>
      <c r="B16" s="53"/>
      <c r="C16" s="53"/>
      <c r="D16" s="53"/>
      <c r="E16" s="53"/>
      <c r="F16" s="53"/>
      <c r="G16" s="346" t="s">
        <v>105</v>
      </c>
      <c r="H16" s="266">
        <v>750</v>
      </c>
      <c r="J16" s="61"/>
      <c r="K16" s="53"/>
      <c r="L16" s="53"/>
      <c r="M16" s="53"/>
      <c r="N16" s="18"/>
    </row>
    <row r="17" spans="1:14">
      <c r="C17" s="163"/>
      <c r="G17" s="34" t="s">
        <v>106</v>
      </c>
      <c r="H17" s="266">
        <v>500</v>
      </c>
      <c r="M17" s="13"/>
      <c r="N17" s="18"/>
    </row>
    <row r="18" spans="1:14">
      <c r="A18" s="10"/>
      <c r="B18" s="20"/>
      <c r="C18" s="17" t="s">
        <v>63</v>
      </c>
      <c r="D18" s="17"/>
      <c r="E18" s="33"/>
      <c r="F18" s="17"/>
      <c r="G18" s="32"/>
      <c r="L18" s="54"/>
      <c r="M18" s="9"/>
      <c r="N18" s="18"/>
    </row>
    <row r="19" spans="1:14">
      <c r="A19" s="6"/>
      <c r="B19" s="20"/>
      <c r="C19" s="5" t="s">
        <v>13</v>
      </c>
      <c r="D19" s="5"/>
      <c r="E19" s="20"/>
      <c r="F19" s="5"/>
      <c r="G19" s="20" t="s">
        <v>14</v>
      </c>
      <c r="H19" s="20" t="s">
        <v>16</v>
      </c>
      <c r="L19" s="54"/>
      <c r="M19" s="9"/>
      <c r="N19" s="18"/>
    </row>
    <row r="20" spans="1:14">
      <c r="A20" s="6"/>
      <c r="B20" s="20"/>
      <c r="C20" s="5" t="s">
        <v>12</v>
      </c>
      <c r="D20" s="5"/>
      <c r="E20" s="20"/>
      <c r="F20" s="5"/>
      <c r="G20" s="20" t="s">
        <v>6</v>
      </c>
      <c r="H20" s="20" t="s">
        <v>15</v>
      </c>
      <c r="L20" s="54"/>
      <c r="M20" s="9"/>
      <c r="N20" s="18"/>
    </row>
    <row r="21" spans="1:14" ht="16.8">
      <c r="A21" s="395" t="s">
        <v>111</v>
      </c>
      <c r="B21" s="34"/>
      <c r="C21" s="393">
        <f>(B4+G4+C4)</f>
        <v>179.74603174603175</v>
      </c>
      <c r="D21" s="228"/>
      <c r="E21" s="166"/>
      <c r="F21" s="228"/>
      <c r="G21" s="17">
        <f>SUM(B4:N4)</f>
        <v>585.91306659198767</v>
      </c>
      <c r="H21" s="5">
        <f>RANK(G21,$G$21:$G$27)</f>
        <v>1</v>
      </c>
      <c r="I21" s="266" t="s">
        <v>25</v>
      </c>
      <c r="J21" s="264"/>
      <c r="L21" s="54"/>
      <c r="M21" s="19"/>
      <c r="N21" s="18"/>
    </row>
    <row r="22" spans="1:14" ht="17.399999999999999" customHeight="1">
      <c r="A22" s="400" t="s">
        <v>130</v>
      </c>
      <c r="B22" s="34"/>
      <c r="C22" s="393">
        <f t="shared" ref="C22:C27" si="0">(B5+G5+C5)</f>
        <v>69.166666666666671</v>
      </c>
      <c r="D22" s="228"/>
      <c r="E22" s="166"/>
      <c r="F22" s="228"/>
      <c r="G22" s="17">
        <f>SUM(B5:N5)</f>
        <v>69.166666666666671</v>
      </c>
      <c r="H22" s="5">
        <f t="shared" ref="H22:H27" si="1">RANK(G22,$G$21:$G$27)</f>
        <v>5</v>
      </c>
      <c r="J22" s="264"/>
      <c r="L22" s="54"/>
      <c r="M22" s="19"/>
      <c r="N22" s="18"/>
    </row>
    <row r="23" spans="1:14" ht="16.8">
      <c r="A23" s="400" t="s">
        <v>133</v>
      </c>
      <c r="B23" s="34"/>
      <c r="C23" s="393">
        <f t="shared" si="0"/>
        <v>58.928571428571431</v>
      </c>
      <c r="D23" s="228"/>
      <c r="E23" s="166"/>
      <c r="F23" s="228"/>
      <c r="G23" s="17">
        <f>SUM(B6:N6)</f>
        <v>54.183932150258443</v>
      </c>
      <c r="H23" s="5">
        <f t="shared" si="1"/>
        <v>6</v>
      </c>
      <c r="J23" s="264"/>
      <c r="L23" s="54"/>
      <c r="M23" s="19"/>
      <c r="N23" s="18"/>
    </row>
    <row r="24" spans="1:14" ht="16.8">
      <c r="A24" s="395" t="s">
        <v>113</v>
      </c>
      <c r="B24" s="34"/>
      <c r="C24" s="393">
        <f t="shared" si="0"/>
        <v>170.34920634920636</v>
      </c>
      <c r="D24" s="228"/>
      <c r="E24" s="166"/>
      <c r="F24" s="228"/>
      <c r="G24" s="17">
        <f>SUM(B7:N7)</f>
        <v>190.34920634920633</v>
      </c>
      <c r="H24" s="5">
        <f t="shared" si="1"/>
        <v>2</v>
      </c>
      <c r="J24" s="264"/>
      <c r="L24" s="54"/>
      <c r="M24" s="19"/>
      <c r="N24" s="18"/>
    </row>
    <row r="25" spans="1:14" ht="16.8">
      <c r="A25" s="400" t="s">
        <v>131</v>
      </c>
      <c r="C25" s="393">
        <f t="shared" si="0"/>
        <v>38.799999999999997</v>
      </c>
      <c r="G25" s="17">
        <f t="shared" ref="G25:G27" si="2">SUM(B8:N8)</f>
        <v>38.799999999999997</v>
      </c>
      <c r="H25" s="5">
        <f t="shared" si="1"/>
        <v>7</v>
      </c>
    </row>
    <row r="26" spans="1:14" ht="16.8">
      <c r="A26" s="395" t="s">
        <v>114</v>
      </c>
      <c r="B26" s="34"/>
      <c r="C26" s="393">
        <f t="shared" si="0"/>
        <v>153.0952380952381</v>
      </c>
      <c r="D26" s="228"/>
      <c r="E26" s="166"/>
      <c r="F26" s="228"/>
      <c r="G26" s="17">
        <f t="shared" si="2"/>
        <v>153.09523809523807</v>
      </c>
      <c r="H26" s="5">
        <f t="shared" si="1"/>
        <v>3</v>
      </c>
      <c r="I26" s="266" t="s">
        <v>25</v>
      </c>
      <c r="J26" s="264"/>
      <c r="L26" s="54"/>
      <c r="M26" s="19"/>
      <c r="N26" s="18"/>
    </row>
    <row r="27" spans="1:14" ht="16.8">
      <c r="A27" s="395" t="s">
        <v>115</v>
      </c>
      <c r="B27" s="34"/>
      <c r="C27" s="393">
        <f t="shared" si="0"/>
        <v>118.9126984126984</v>
      </c>
      <c r="D27" s="81"/>
      <c r="E27" s="81"/>
      <c r="F27" s="81"/>
      <c r="G27" s="17">
        <f t="shared" si="2"/>
        <v>111.91269841269843</v>
      </c>
      <c r="H27" s="5">
        <f t="shared" si="1"/>
        <v>4</v>
      </c>
      <c r="L27" s="54"/>
      <c r="M27" s="19"/>
      <c r="N27" s="18"/>
    </row>
    <row r="28" spans="1:14">
      <c r="A28" s="356"/>
      <c r="B28" s="34"/>
      <c r="C28" s="34"/>
      <c r="D28" s="81"/>
      <c r="E28" s="81"/>
      <c r="F28" s="81"/>
      <c r="G28" s="33"/>
      <c r="H28" s="20"/>
      <c r="L28" s="54"/>
      <c r="M28" s="19"/>
      <c r="N28" s="18"/>
    </row>
    <row r="29" spans="1:14">
      <c r="A29" s="133"/>
      <c r="B29" s="32" t="s">
        <v>108</v>
      </c>
      <c r="C29" s="394">
        <f>MAX(C21:C27)</f>
        <v>179.74603174603175</v>
      </c>
      <c r="D29" s="81"/>
      <c r="E29" s="81"/>
      <c r="F29" s="81"/>
      <c r="G29" s="33"/>
      <c r="H29" s="20"/>
      <c r="L29" s="54"/>
      <c r="M29" s="19"/>
      <c r="N29" s="18"/>
    </row>
    <row r="30" spans="1:14">
      <c r="A30" s="133"/>
      <c r="B30" s="34"/>
      <c r="C30" s="394"/>
      <c r="D30" s="81"/>
      <c r="E30" s="81"/>
      <c r="F30" s="81"/>
      <c r="G30" s="33"/>
      <c r="H30" s="20"/>
      <c r="L30" s="54"/>
      <c r="M30" s="19"/>
      <c r="N30" s="18"/>
    </row>
    <row r="31" spans="1:14" s="68" customFormat="1">
      <c r="A31" s="133"/>
      <c r="B31" s="34"/>
      <c r="C31" s="34" t="s">
        <v>25</v>
      </c>
      <c r="D31" s="81"/>
      <c r="E31" s="81" t="s">
        <v>25</v>
      </c>
      <c r="F31" s="81"/>
      <c r="G31" s="33"/>
      <c r="H31" s="20"/>
      <c r="I31" s="69"/>
      <c r="J31" s="69"/>
      <c r="K31" s="69"/>
      <c r="L31" s="69"/>
      <c r="M31" s="69"/>
      <c r="N31" s="136"/>
    </row>
    <row r="32" spans="1:14" s="68" customFormat="1">
      <c r="A32" s="2" t="s">
        <v>55</v>
      </c>
      <c r="F32" s="79"/>
      <c r="G32" s="36"/>
      <c r="H32" s="69"/>
      <c r="I32" s="69"/>
      <c r="J32" s="69"/>
      <c r="K32" s="69"/>
      <c r="L32" s="69"/>
      <c r="M32" s="69"/>
      <c r="N32" s="136"/>
    </row>
    <row r="33" spans="1:14" s="68" customFormat="1" ht="14.4" customHeight="1">
      <c r="A33" s="365" t="s">
        <v>96</v>
      </c>
      <c r="B33" s="431" t="str">
        <f>A21</f>
        <v>E51 McGill University</v>
      </c>
      <c r="C33" s="431"/>
      <c r="D33" s="431"/>
      <c r="E33" s="431"/>
      <c r="F33" s="79"/>
      <c r="G33" s="36"/>
      <c r="H33" s="69"/>
      <c r="I33" s="37"/>
      <c r="J33" s="37"/>
      <c r="K33" s="37"/>
      <c r="L33" s="37"/>
      <c r="M33" s="37"/>
      <c r="N33" s="136"/>
    </row>
    <row r="34" spans="1:14" s="68" customFormat="1" ht="14.4" customHeight="1">
      <c r="A34" s="365" t="s">
        <v>97</v>
      </c>
      <c r="B34" s="430" t="str">
        <f>A24</f>
        <v>E54 S. Dakota Sch of Mines &amp; Tech.</v>
      </c>
      <c r="C34" s="430"/>
      <c r="D34" s="430"/>
      <c r="E34" s="430"/>
      <c r="F34" s="79"/>
      <c r="G34" s="36"/>
      <c r="H34" s="69"/>
      <c r="I34" s="37"/>
      <c r="J34" s="37"/>
      <c r="K34" s="37"/>
      <c r="L34" s="37"/>
      <c r="M34" s="37"/>
      <c r="N34" s="136"/>
    </row>
    <row r="35" spans="1:14" s="68" customFormat="1" ht="14.4" customHeight="1">
      <c r="A35" s="365" t="s">
        <v>98</v>
      </c>
      <c r="B35" s="430" t="str">
        <f>A26</f>
        <v xml:space="preserve">E56 Queen's Univ - Ontario Canada </v>
      </c>
      <c r="C35" s="430"/>
      <c r="D35" s="430"/>
      <c r="E35" s="430"/>
      <c r="F35" s="79"/>
      <c r="G35" s="36"/>
      <c r="H35" s="69"/>
      <c r="I35" s="37"/>
      <c r="J35" s="37"/>
      <c r="K35" s="37"/>
      <c r="L35" s="37"/>
      <c r="M35" s="37"/>
      <c r="N35" s="136"/>
    </row>
    <row r="36" spans="1:14" s="68" customFormat="1" ht="14.4" customHeight="1">
      <c r="A36" s="365" t="s">
        <v>42</v>
      </c>
      <c r="B36" s="430" t="str">
        <f>A21</f>
        <v>E51 McGill University</v>
      </c>
      <c r="C36" s="430"/>
      <c r="D36" s="430"/>
      <c r="E36" s="430"/>
      <c r="F36" s="37"/>
      <c r="G36" s="37"/>
      <c r="H36" s="37"/>
      <c r="I36" s="37"/>
      <c r="J36" s="37"/>
      <c r="K36" s="37"/>
      <c r="L36" s="37"/>
      <c r="M36" s="37"/>
      <c r="N36" s="136"/>
    </row>
    <row r="37" spans="1:14" s="68" customFormat="1" ht="15" customHeight="1">
      <c r="A37" s="365" t="s">
        <v>148</v>
      </c>
      <c r="B37" s="430"/>
      <c r="C37" s="430"/>
      <c r="D37" s="430"/>
      <c r="E37" s="430"/>
      <c r="F37" s="37"/>
      <c r="G37" s="37"/>
      <c r="H37" s="37"/>
      <c r="I37" s="37"/>
      <c r="J37" s="37"/>
      <c r="K37" s="37"/>
      <c r="L37" s="37"/>
      <c r="M37" s="37"/>
      <c r="N37" s="136"/>
    </row>
    <row r="38" spans="1:14" ht="15" customHeight="1">
      <c r="A38" s="365" t="s">
        <v>149</v>
      </c>
      <c r="B38" s="430"/>
      <c r="C38" s="430"/>
      <c r="D38" s="430"/>
      <c r="E38" s="430"/>
      <c r="F38" s="37"/>
      <c r="G38" s="37"/>
      <c r="H38" s="37"/>
      <c r="I38" s="6"/>
      <c r="J38" s="6"/>
      <c r="K38" s="6"/>
      <c r="L38" s="6"/>
      <c r="M38" s="6"/>
      <c r="N38" s="18"/>
    </row>
    <row r="39" spans="1:14" ht="14.25" customHeight="1">
      <c r="A39" s="365"/>
      <c r="B39" s="429"/>
      <c r="C39" s="429"/>
      <c r="D39" s="429"/>
      <c r="E39" s="429"/>
      <c r="F39" s="352"/>
      <c r="G39" s="6"/>
      <c r="H39" s="6"/>
    </row>
    <row r="40" spans="1:14" ht="14.25" customHeight="1">
      <c r="A40" s="366"/>
      <c r="B40" s="429"/>
      <c r="C40" s="429"/>
      <c r="D40" s="429"/>
      <c r="E40" s="429"/>
      <c r="F40" s="352"/>
    </row>
    <row r="41" spans="1:14" ht="13.8">
      <c r="A41" s="366"/>
      <c r="B41" s="429"/>
      <c r="C41" s="429"/>
      <c r="D41" s="429"/>
      <c r="E41" s="429"/>
      <c r="F41" s="352"/>
    </row>
    <row r="42" spans="1:14" ht="13.8">
      <c r="A42" s="365"/>
      <c r="B42" s="429"/>
      <c r="C42" s="429"/>
      <c r="D42" s="429"/>
      <c r="E42" s="429"/>
      <c r="F42" s="352"/>
    </row>
    <row r="43" spans="1:14">
      <c r="A43" s="78"/>
      <c r="B43" s="214"/>
    </row>
    <row r="44" spans="1:14">
      <c r="A44" s="78"/>
      <c r="B44" s="214"/>
    </row>
    <row r="45" spans="1:14">
      <c r="A45" s="78"/>
      <c r="B45" s="214"/>
    </row>
    <row r="46" spans="1:14">
      <c r="A46" s="167"/>
      <c r="B46" s="214"/>
      <c r="C46" s="135"/>
    </row>
    <row r="47" spans="1:14">
      <c r="A47" s="167"/>
      <c r="B47" s="214"/>
      <c r="C47" s="135"/>
    </row>
  </sheetData>
  <mergeCells count="10">
    <mergeCell ref="B34:E34"/>
    <mergeCell ref="B35:E35"/>
    <mergeCell ref="B36:E36"/>
    <mergeCell ref="B37:E37"/>
    <mergeCell ref="B33:E33"/>
    <mergeCell ref="B42:E42"/>
    <mergeCell ref="B38:E38"/>
    <mergeCell ref="B39:E39"/>
    <mergeCell ref="B40:E40"/>
    <mergeCell ref="B41:E41"/>
  </mergeCells>
  <phoneticPr fontId="20" type="noConversion"/>
  <printOptions gridLines="1"/>
  <pageMargins left="0.75" right="0.75" top="1" bottom="1" header="0.5" footer="0.5"/>
  <pageSetup scale="60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5" sqref="B5"/>
    </sheetView>
  </sheetViews>
  <sheetFormatPr defaultRowHeight="13.2"/>
  <cols>
    <col min="1" max="1" width="36.109375" customWidth="1"/>
    <col min="2" max="2" width="17.6640625" style="240" bestFit="1" customWidth="1"/>
    <col min="3" max="3" width="14.6640625" customWidth="1"/>
  </cols>
  <sheetData>
    <row r="1" spans="1:5" ht="17.399999999999999">
      <c r="A1" s="7" t="s">
        <v>125</v>
      </c>
      <c r="B1" s="242"/>
      <c r="C1" s="6"/>
      <c r="D1" s="6"/>
      <c r="E1" s="6"/>
    </row>
    <row r="2" spans="1:5">
      <c r="A2" s="6"/>
      <c r="B2" s="10"/>
      <c r="C2" s="6"/>
      <c r="D2" s="6"/>
      <c r="E2" s="6"/>
    </row>
    <row r="3" spans="1:5">
      <c r="A3" s="12"/>
      <c r="B3" s="14" t="s">
        <v>11</v>
      </c>
      <c r="C3" s="56" t="s">
        <v>8</v>
      </c>
      <c r="D3" s="6"/>
      <c r="E3" s="6"/>
    </row>
    <row r="4" spans="1:5" ht="16.8">
      <c r="A4" s="395" t="s">
        <v>111</v>
      </c>
      <c r="B4" s="278" t="s">
        <v>142</v>
      </c>
      <c r="C4" s="252">
        <v>0</v>
      </c>
      <c r="D4" s="6"/>
      <c r="E4" s="6"/>
    </row>
    <row r="5" spans="1:5" ht="33.6">
      <c r="A5" s="400" t="s">
        <v>132</v>
      </c>
      <c r="B5" s="399" t="s">
        <v>142</v>
      </c>
      <c r="C5" s="425">
        <v>0</v>
      </c>
      <c r="D5" s="6"/>
      <c r="E5" s="6"/>
    </row>
    <row r="6" spans="1:5" ht="33.6">
      <c r="A6" s="400" t="s">
        <v>133</v>
      </c>
      <c r="B6" s="399" t="s">
        <v>142</v>
      </c>
      <c r="C6" s="425">
        <v>0</v>
      </c>
      <c r="D6" s="6"/>
      <c r="E6" s="6"/>
    </row>
    <row r="7" spans="1:5" ht="33.6">
      <c r="A7" s="395" t="s">
        <v>113</v>
      </c>
      <c r="B7" s="399" t="s">
        <v>142</v>
      </c>
      <c r="C7" s="425">
        <v>0</v>
      </c>
      <c r="D7" s="6"/>
      <c r="E7" s="6"/>
    </row>
    <row r="8" spans="1:5" ht="33.6">
      <c r="A8" s="400" t="s">
        <v>131</v>
      </c>
      <c r="B8" s="399" t="s">
        <v>142</v>
      </c>
      <c r="C8" s="425">
        <v>0</v>
      </c>
      <c r="D8" s="6"/>
      <c r="E8" s="6"/>
    </row>
    <row r="9" spans="1:5" ht="33.6">
      <c r="A9" s="395" t="s">
        <v>114</v>
      </c>
      <c r="B9" s="399" t="s">
        <v>142</v>
      </c>
      <c r="C9" s="425">
        <v>0</v>
      </c>
    </row>
    <row r="10" spans="1:5" ht="16.8">
      <c r="A10" s="395" t="s">
        <v>115</v>
      </c>
      <c r="B10" s="399" t="s">
        <v>142</v>
      </c>
      <c r="C10" s="425">
        <v>0</v>
      </c>
      <c r="D10" s="6"/>
      <c r="E10" s="6"/>
    </row>
    <row r="11" spans="1:5">
      <c r="A11" s="211"/>
      <c r="B11" s="339"/>
      <c r="C11" s="156"/>
      <c r="D11" s="6"/>
      <c r="E11" s="6"/>
    </row>
    <row r="12" spans="1:5" s="143" customFormat="1">
      <c r="A12" s="211"/>
      <c r="B12" s="339"/>
      <c r="C12" s="156"/>
      <c r="D12" s="137"/>
      <c r="E12" s="137"/>
    </row>
    <row r="13" spans="1:5" ht="17.399999999999999">
      <c r="A13" s="211"/>
      <c r="B13" s="391"/>
      <c r="C13" s="156"/>
    </row>
    <row r="14" spans="1:5">
      <c r="A14" s="211"/>
      <c r="B14" s="392"/>
      <c r="C14" s="156"/>
    </row>
    <row r="15" spans="1:5">
      <c r="A15" s="211"/>
      <c r="B15" s="392"/>
      <c r="C15" s="156"/>
    </row>
  </sheetData>
  <phoneticPr fontId="20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28"/>
  <sheetViews>
    <sheetView workbookViewId="0">
      <selection activeCell="H6" sqref="H6"/>
    </sheetView>
  </sheetViews>
  <sheetFormatPr defaultRowHeight="13.2"/>
  <cols>
    <col min="1" max="1" width="37.109375" customWidth="1"/>
    <col min="2" max="5" width="10.33203125" customWidth="1"/>
  </cols>
  <sheetData>
    <row r="1" spans="1:21" ht="17.399999999999999">
      <c r="A1" s="235" t="s">
        <v>126</v>
      </c>
    </row>
    <row r="2" spans="1:21" ht="17.399999999999999">
      <c r="A2" s="45"/>
      <c r="B2" s="30"/>
      <c r="C2" s="30"/>
      <c r="D2" s="30"/>
      <c r="E2" s="30"/>
      <c r="F2" s="31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B3" s="30"/>
      <c r="C3" s="30"/>
      <c r="D3" s="30"/>
      <c r="E3" s="30"/>
      <c r="F3" s="31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B4" s="134" t="s">
        <v>30</v>
      </c>
      <c r="C4" s="134" t="s">
        <v>31</v>
      </c>
      <c r="D4" s="134" t="s">
        <v>32</v>
      </c>
      <c r="E4" s="43" t="s">
        <v>14</v>
      </c>
      <c r="G4" s="38" t="s">
        <v>29</v>
      </c>
      <c r="H4" s="2" t="s">
        <v>17</v>
      </c>
    </row>
    <row r="5" spans="1:21" ht="15" customHeight="1">
      <c r="A5" s="395" t="s">
        <v>111</v>
      </c>
      <c r="B5" s="403">
        <v>136</v>
      </c>
      <c r="C5" s="404">
        <v>142</v>
      </c>
      <c r="D5" s="404">
        <v>252</v>
      </c>
      <c r="E5" s="405">
        <v>530</v>
      </c>
      <c r="F5" s="254"/>
      <c r="G5" s="250">
        <v>100</v>
      </c>
      <c r="H5" s="250">
        <v>1</v>
      </c>
    </row>
    <row r="6" spans="1:21" ht="33.6">
      <c r="A6" s="400" t="s">
        <v>132</v>
      </c>
      <c r="B6" s="347"/>
      <c r="C6" s="347"/>
      <c r="D6" s="347"/>
      <c r="E6" s="406" t="s">
        <v>137</v>
      </c>
      <c r="F6" s="270"/>
      <c r="G6" s="250"/>
      <c r="H6" s="250">
        <v>1</v>
      </c>
    </row>
    <row r="7" spans="1:21" ht="33.6">
      <c r="A7" s="400" t="s">
        <v>133</v>
      </c>
      <c r="B7" s="347"/>
      <c r="C7" s="347"/>
      <c r="D7" s="347"/>
      <c r="E7" s="406" t="s">
        <v>137</v>
      </c>
      <c r="F7" s="254"/>
      <c r="G7" s="250"/>
      <c r="H7" s="250">
        <v>1</v>
      </c>
    </row>
    <row r="8" spans="1:21" ht="33.6">
      <c r="A8" s="395" t="s">
        <v>113</v>
      </c>
      <c r="B8" s="347"/>
      <c r="C8" s="347"/>
      <c r="D8" s="347"/>
      <c r="E8" s="376" t="s">
        <v>138</v>
      </c>
      <c r="F8" s="254"/>
      <c r="G8" s="250">
        <f t="shared" ref="G8:G11" si="0">IF(E8="DNF",0,($B$16*E8)+$B$17)</f>
        <v>0</v>
      </c>
      <c r="H8" s="250">
        <v>1</v>
      </c>
    </row>
    <row r="9" spans="1:21" ht="33.6">
      <c r="A9" s="400" t="s">
        <v>131</v>
      </c>
      <c r="B9" s="347"/>
      <c r="C9" s="347"/>
      <c r="D9" s="347"/>
      <c r="E9" s="406" t="s">
        <v>137</v>
      </c>
      <c r="F9" s="254"/>
      <c r="G9" s="250"/>
      <c r="H9" s="250">
        <v>1</v>
      </c>
    </row>
    <row r="10" spans="1:21" ht="33.6">
      <c r="A10" s="395" t="s">
        <v>114</v>
      </c>
      <c r="B10" s="347"/>
      <c r="C10" s="347"/>
      <c r="D10" s="347"/>
      <c r="E10" s="376" t="s">
        <v>138</v>
      </c>
      <c r="F10" s="254"/>
      <c r="G10" s="250">
        <f t="shared" si="0"/>
        <v>0</v>
      </c>
      <c r="H10" s="250">
        <v>1</v>
      </c>
    </row>
    <row r="11" spans="1:21" ht="16.8">
      <c r="A11" s="395" t="s">
        <v>115</v>
      </c>
      <c r="B11" s="347"/>
      <c r="C11" s="347"/>
      <c r="D11" s="347"/>
      <c r="E11" s="376" t="s">
        <v>138</v>
      </c>
      <c r="F11" s="270"/>
      <c r="G11" s="250">
        <f t="shared" si="0"/>
        <v>0</v>
      </c>
      <c r="H11" s="250">
        <v>1</v>
      </c>
    </row>
    <row r="12" spans="1:21">
      <c r="A12" s="192"/>
      <c r="B12" s="197"/>
      <c r="C12" s="197"/>
      <c r="D12" s="197"/>
      <c r="E12" s="63"/>
      <c r="F12" s="213"/>
      <c r="G12" s="184"/>
      <c r="H12" s="184"/>
    </row>
    <row r="13" spans="1:21">
      <c r="A13" s="317" t="s">
        <v>92</v>
      </c>
      <c r="B13" s="206"/>
      <c r="C13" s="213"/>
      <c r="D13" s="213"/>
      <c r="E13" s="1"/>
      <c r="F13" s="1"/>
      <c r="G13" s="184"/>
      <c r="H13" s="184"/>
    </row>
    <row r="14" spans="1:21" ht="17.399999999999999">
      <c r="A14" s="317" t="s">
        <v>73</v>
      </c>
      <c r="B14" s="307"/>
      <c r="C14" s="213"/>
      <c r="D14" s="213"/>
      <c r="E14" s="304"/>
      <c r="F14" s="1"/>
      <c r="G14" s="184"/>
      <c r="H14" s="184"/>
    </row>
    <row r="15" spans="1:21">
      <c r="A15" s="317" t="s">
        <v>93</v>
      </c>
      <c r="B15" s="307"/>
      <c r="C15" s="213"/>
      <c r="D15" s="213"/>
      <c r="E15" s="1"/>
      <c r="F15" s="1"/>
      <c r="G15" s="184"/>
      <c r="H15" s="184"/>
    </row>
    <row r="16" spans="1:21">
      <c r="A16" s="11" t="s">
        <v>75</v>
      </c>
      <c r="B16" s="340" t="e">
        <f>B20/(B18-B19)</f>
        <v>#DIV/0!</v>
      </c>
      <c r="C16" s="213"/>
      <c r="D16" s="213"/>
      <c r="E16" s="1"/>
      <c r="F16" s="1"/>
      <c r="G16" s="184"/>
      <c r="H16" s="184"/>
    </row>
    <row r="17" spans="1:5">
      <c r="A17" s="11" t="s">
        <v>94</v>
      </c>
      <c r="B17" s="316" t="e">
        <f>-(B16*B19)</f>
        <v>#DIV/0!</v>
      </c>
      <c r="E17" s="63"/>
    </row>
    <row r="18" spans="1:5">
      <c r="A18" s="11" t="s">
        <v>59</v>
      </c>
      <c r="B18" s="316">
        <f>MIN(E5:E11)</f>
        <v>530</v>
      </c>
      <c r="C18" s="178" t="s">
        <v>33</v>
      </c>
      <c r="E18" s="63"/>
    </row>
    <row r="19" spans="1:5">
      <c r="A19" s="11" t="s">
        <v>58</v>
      </c>
      <c r="B19" s="316">
        <f>MAX(E5:E11)</f>
        <v>530</v>
      </c>
      <c r="C19" s="178" t="s">
        <v>33</v>
      </c>
      <c r="E19" s="63"/>
    </row>
    <row r="20" spans="1:5">
      <c r="A20" s="11" t="s">
        <v>95</v>
      </c>
      <c r="B20" s="3">
        <v>100</v>
      </c>
      <c r="E20" s="63"/>
    </row>
    <row r="21" spans="1:5">
      <c r="E21" s="63"/>
    </row>
    <row r="22" spans="1:5">
      <c r="E22" s="63"/>
    </row>
    <row r="23" spans="1:5">
      <c r="E23" s="63"/>
    </row>
    <row r="24" spans="1:5">
      <c r="E24" s="63"/>
    </row>
    <row r="25" spans="1:5">
      <c r="E25" s="63"/>
    </row>
    <row r="26" spans="1:5">
      <c r="E26" s="63"/>
    </row>
    <row r="27" spans="1:5">
      <c r="E27" s="63"/>
    </row>
    <row r="28" spans="1:5">
      <c r="E28" s="63"/>
    </row>
  </sheetData>
  <phoneticPr fontId="2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0"/>
  <sheetViews>
    <sheetView workbookViewId="0">
      <selection activeCell="E21" sqref="E21"/>
    </sheetView>
  </sheetViews>
  <sheetFormatPr defaultRowHeight="13.2"/>
  <cols>
    <col min="1" max="1" width="37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235" t="s">
        <v>127</v>
      </c>
    </row>
    <row r="2" spans="1:8" ht="17.399999999999999">
      <c r="A2" s="7"/>
      <c r="B2" s="8"/>
      <c r="C2" s="6"/>
      <c r="D2" s="9"/>
      <c r="E2" s="216"/>
      <c r="F2" s="37"/>
      <c r="G2" s="6"/>
      <c r="H2" s="6"/>
    </row>
    <row r="3" spans="1:8" s="68" customFormat="1" ht="12.75" customHeight="1">
      <c r="A3" s="37"/>
      <c r="B3" s="37"/>
      <c r="C3" s="37"/>
      <c r="D3" s="69"/>
      <c r="E3" s="166"/>
      <c r="F3" s="37"/>
      <c r="G3" s="37"/>
      <c r="H3" s="37"/>
    </row>
    <row r="4" spans="1:8">
      <c r="A4" s="6"/>
      <c r="B4" s="11"/>
      <c r="C4" s="12"/>
      <c r="D4" s="12"/>
      <c r="E4" s="6"/>
      <c r="F4" s="6"/>
      <c r="G4" s="6"/>
    </row>
    <row r="5" spans="1:8" ht="27" customHeight="1">
      <c r="A5" s="10"/>
      <c r="B5" s="38" t="s">
        <v>18</v>
      </c>
      <c r="C5" s="38" t="s">
        <v>19</v>
      </c>
      <c r="D5" s="38" t="s">
        <v>21</v>
      </c>
      <c r="E5" s="35" t="s">
        <v>6</v>
      </c>
      <c r="F5" s="5" t="s">
        <v>17</v>
      </c>
      <c r="G5" s="18"/>
      <c r="H5" s="35"/>
    </row>
    <row r="6" spans="1:8" ht="16.8">
      <c r="A6" s="395" t="s">
        <v>111</v>
      </c>
      <c r="B6" s="418">
        <v>69.650000000000006</v>
      </c>
      <c r="C6" s="424">
        <v>65.97</v>
      </c>
      <c r="D6" s="420">
        <v>65.97</v>
      </c>
      <c r="E6" s="251">
        <f>IF(D6="DNF",0,($B$17*D6+$B$18))</f>
        <v>50.000000000000007</v>
      </c>
      <c r="F6" s="255" t="e">
        <f>RANK(E6,$E$6:$E$12)</f>
        <v>#VALUE!</v>
      </c>
      <c r="G6" s="18"/>
      <c r="H6" s="67"/>
    </row>
    <row r="7" spans="1:8" ht="33.6">
      <c r="A7" s="400" t="s">
        <v>132</v>
      </c>
      <c r="B7" s="421"/>
      <c r="C7" s="422"/>
      <c r="D7" s="423" t="s">
        <v>25</v>
      </c>
      <c r="E7" s="251" t="e">
        <f t="shared" ref="E7:E12" si="0">IF(D7="DNF", 0, ($B$17*D7+$B$18))</f>
        <v>#VALUE!</v>
      </c>
      <c r="F7" s="255" t="e">
        <f t="shared" ref="F7:F12" si="1">RANK(E7,$E$6:$E$12)</f>
        <v>#VALUE!</v>
      </c>
      <c r="G7" s="18"/>
      <c r="H7" s="67"/>
    </row>
    <row r="8" spans="1:8" ht="33.6">
      <c r="A8" s="400" t="s">
        <v>133</v>
      </c>
      <c r="B8" s="421"/>
      <c r="C8" s="422"/>
      <c r="D8" s="423" t="s">
        <v>25</v>
      </c>
      <c r="E8" s="251" t="e">
        <f t="shared" si="0"/>
        <v>#VALUE!</v>
      </c>
      <c r="F8" s="255" t="e">
        <f t="shared" si="1"/>
        <v>#VALUE!</v>
      </c>
      <c r="G8" s="18"/>
      <c r="H8" s="67"/>
    </row>
    <row r="9" spans="1:8" ht="33.6">
      <c r="A9" s="395" t="s">
        <v>113</v>
      </c>
      <c r="B9" s="421"/>
      <c r="C9" s="422"/>
      <c r="D9" s="423" t="s">
        <v>25</v>
      </c>
      <c r="E9" s="251" t="e">
        <f t="shared" si="0"/>
        <v>#VALUE!</v>
      </c>
      <c r="F9" s="255" t="e">
        <f t="shared" si="1"/>
        <v>#VALUE!</v>
      </c>
      <c r="G9" s="18"/>
      <c r="H9" s="67"/>
    </row>
    <row r="10" spans="1:8" ht="33.6">
      <c r="A10" s="400" t="s">
        <v>131</v>
      </c>
      <c r="B10" s="421"/>
      <c r="C10" s="422"/>
      <c r="D10" s="423" t="s">
        <v>25</v>
      </c>
      <c r="E10" s="251" t="e">
        <f t="shared" si="0"/>
        <v>#VALUE!</v>
      </c>
      <c r="F10" s="255" t="e">
        <f t="shared" si="1"/>
        <v>#VALUE!</v>
      </c>
      <c r="G10" s="18"/>
      <c r="H10" s="67"/>
    </row>
    <row r="11" spans="1:8" ht="33.6">
      <c r="A11" s="395" t="s">
        <v>114</v>
      </c>
      <c r="B11" s="421"/>
      <c r="C11" s="422"/>
      <c r="D11" s="423" t="s">
        <v>25</v>
      </c>
      <c r="E11" s="251" t="e">
        <f t="shared" si="0"/>
        <v>#VALUE!</v>
      </c>
      <c r="F11" s="255" t="e">
        <f t="shared" si="1"/>
        <v>#VALUE!</v>
      </c>
    </row>
    <row r="12" spans="1:8" ht="16.8">
      <c r="A12" s="395" t="s">
        <v>115</v>
      </c>
      <c r="B12" s="421"/>
      <c r="C12" s="422"/>
      <c r="D12" s="423">
        <v>1000</v>
      </c>
      <c r="E12" s="251">
        <f t="shared" si="0"/>
        <v>0</v>
      </c>
      <c r="F12" s="255" t="e">
        <f t="shared" si="1"/>
        <v>#VALUE!</v>
      </c>
      <c r="G12" s="18"/>
      <c r="H12" s="67"/>
    </row>
    <row r="13" spans="1:8">
      <c r="A13" s="192"/>
      <c r="B13" s="204"/>
      <c r="C13" s="204"/>
      <c r="D13" s="141"/>
      <c r="E13" s="76"/>
      <c r="F13" s="77"/>
      <c r="G13" s="18"/>
      <c r="H13" s="67"/>
    </row>
    <row r="14" spans="1:8" s="143" customFormat="1">
      <c r="A14" s="317" t="s">
        <v>92</v>
      </c>
      <c r="B14" s="206"/>
      <c r="C14" s="204"/>
      <c r="D14" s="141"/>
      <c r="E14" s="76"/>
      <c r="F14" s="77"/>
      <c r="G14" s="144"/>
      <c r="H14" s="147"/>
    </row>
    <row r="15" spans="1:8" ht="17.399999999999999">
      <c r="A15" s="317" t="s">
        <v>73</v>
      </c>
      <c r="B15" s="307"/>
      <c r="C15" s="204"/>
      <c r="D15" s="304"/>
      <c r="E15" s="76"/>
      <c r="F15" s="77"/>
      <c r="G15" s="5"/>
      <c r="H15" s="2"/>
    </row>
    <row r="16" spans="1:8">
      <c r="A16" s="317" t="s">
        <v>99</v>
      </c>
      <c r="B16" s="307"/>
      <c r="C16" s="204"/>
      <c r="D16" s="141"/>
      <c r="E16" s="76"/>
      <c r="F16" s="77"/>
      <c r="G16" s="18"/>
      <c r="H16" s="3"/>
    </row>
    <row r="17" spans="1:8">
      <c r="A17" s="11" t="s">
        <v>75</v>
      </c>
      <c r="B17" s="340">
        <f>B21/(B19-B20)</f>
        <v>-5.3531471151890199E-2</v>
      </c>
      <c r="C17" s="204"/>
      <c r="D17" s="141"/>
      <c r="E17" s="76"/>
      <c r="F17" s="77"/>
      <c r="G17" s="18"/>
      <c r="H17" s="3"/>
    </row>
    <row r="18" spans="1:8">
      <c r="A18" s="11" t="s">
        <v>94</v>
      </c>
      <c r="B18" s="316">
        <f>-(B17*B20)</f>
        <v>53.531471151890202</v>
      </c>
      <c r="C18" s="57"/>
      <c r="D18" s="57"/>
      <c r="E18" s="18"/>
      <c r="F18" s="18"/>
      <c r="G18" s="18"/>
      <c r="H18" s="3"/>
    </row>
    <row r="19" spans="1:8">
      <c r="A19" s="11" t="s">
        <v>59</v>
      </c>
      <c r="B19" s="316">
        <f>MIN(D6:D12)</f>
        <v>65.97</v>
      </c>
      <c r="C19" s="339" t="s">
        <v>100</v>
      </c>
      <c r="D19" s="57"/>
      <c r="E19" s="18"/>
      <c r="F19" s="18"/>
      <c r="G19" s="18"/>
      <c r="H19" s="3"/>
    </row>
    <row r="20" spans="1:8">
      <c r="A20" s="11" t="s">
        <v>58</v>
      </c>
      <c r="B20" s="316">
        <f>MAX(D6:D12)</f>
        <v>1000</v>
      </c>
      <c r="C20" s="339" t="s">
        <v>100</v>
      </c>
      <c r="D20" s="57"/>
      <c r="E20" s="18"/>
      <c r="F20" s="18"/>
      <c r="G20" s="18"/>
      <c r="H20" s="3"/>
    </row>
    <row r="21" spans="1:8">
      <c r="A21" s="11" t="s">
        <v>95</v>
      </c>
      <c r="B21" s="3">
        <v>50</v>
      </c>
      <c r="C21" s="57"/>
      <c r="D21" s="57"/>
      <c r="E21" s="18"/>
      <c r="F21" s="18"/>
      <c r="G21" s="18"/>
      <c r="H21" s="3"/>
    </row>
    <row r="22" spans="1:8">
      <c r="A22" s="25"/>
      <c r="B22" s="57"/>
      <c r="C22" s="139"/>
      <c r="D22" s="57"/>
      <c r="E22" s="18"/>
      <c r="F22" s="18"/>
      <c r="G22" s="18"/>
      <c r="H22" s="3"/>
    </row>
    <row r="23" spans="1:8">
      <c r="A23" s="25"/>
      <c r="B23" s="57"/>
      <c r="C23" s="57"/>
      <c r="D23" s="57"/>
      <c r="E23" s="18"/>
      <c r="F23" s="18"/>
      <c r="G23" s="18"/>
      <c r="H23" s="3"/>
    </row>
    <row r="24" spans="1:8">
      <c r="A24" s="25"/>
      <c r="B24" s="57"/>
      <c r="C24" s="57"/>
      <c r="D24" s="57"/>
      <c r="E24" s="18"/>
      <c r="F24" s="18"/>
      <c r="G24" s="18"/>
      <c r="H24" s="3"/>
    </row>
    <row r="25" spans="1:8">
      <c r="A25" s="25"/>
      <c r="B25" s="57"/>
      <c r="C25" s="57"/>
      <c r="D25" s="57"/>
      <c r="E25" s="18"/>
      <c r="F25" s="18"/>
      <c r="G25" s="18"/>
      <c r="H25" s="3"/>
    </row>
    <row r="26" spans="1:8">
      <c r="A26" s="25"/>
      <c r="B26" s="57"/>
      <c r="C26" s="57"/>
      <c r="D26" s="57"/>
      <c r="E26" s="18"/>
      <c r="F26" s="18"/>
      <c r="G26" s="18"/>
      <c r="H26" s="3"/>
    </row>
    <row r="27" spans="1:8">
      <c r="A27" s="25"/>
      <c r="B27" s="57"/>
      <c r="C27" s="57"/>
      <c r="D27" s="57"/>
      <c r="E27" s="18"/>
      <c r="F27" s="18"/>
      <c r="G27" s="18"/>
      <c r="H27" s="3"/>
    </row>
    <row r="28" spans="1:8">
      <c r="A28" s="25"/>
      <c r="B28" s="57"/>
      <c r="C28" s="57"/>
      <c r="D28" s="57"/>
      <c r="E28" s="18"/>
      <c r="F28" s="18"/>
      <c r="G28" s="18"/>
      <c r="H28" s="3"/>
    </row>
    <row r="29" spans="1:8">
      <c r="A29" s="25"/>
      <c r="B29" s="57"/>
      <c r="C29" s="57"/>
      <c r="D29" s="57"/>
      <c r="E29" s="18"/>
      <c r="F29" s="18"/>
      <c r="G29" s="18"/>
      <c r="H29" s="6"/>
    </row>
    <row r="30" spans="1:8">
      <c r="A30" s="25"/>
      <c r="B30" s="57"/>
      <c r="C30" s="57"/>
      <c r="D30" s="57"/>
      <c r="E30" s="18"/>
      <c r="F30" s="18"/>
      <c r="G30" s="18"/>
      <c r="H30" s="6"/>
    </row>
    <row r="31" spans="1:8">
      <c r="A31" s="12"/>
      <c r="B31" s="57"/>
      <c r="C31" s="57"/>
      <c r="D31" s="57"/>
      <c r="E31" s="18"/>
      <c r="F31" s="18"/>
      <c r="G31" s="18"/>
      <c r="H31" s="6"/>
    </row>
    <row r="32" spans="1:8">
      <c r="A32" s="12"/>
      <c r="B32" s="57"/>
      <c r="C32" s="57"/>
      <c r="D32" s="57"/>
      <c r="E32" s="18"/>
      <c r="F32" s="18"/>
      <c r="G32" s="18"/>
      <c r="H32" s="6"/>
    </row>
    <row r="33" spans="1:8">
      <c r="A33" s="12"/>
      <c r="B33" s="57"/>
      <c r="C33" s="57"/>
      <c r="D33" s="57"/>
      <c r="E33" s="18"/>
      <c r="F33" s="18"/>
      <c r="G33" s="18"/>
      <c r="H33" s="6"/>
    </row>
    <row r="34" spans="1:8">
      <c r="A34" s="51"/>
      <c r="B34" s="12"/>
      <c r="C34" s="12"/>
      <c r="D34" s="12"/>
      <c r="E34" s="6"/>
      <c r="F34" s="6"/>
      <c r="G34" s="6"/>
      <c r="H34" s="6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  <row r="70" spans="2:4">
      <c r="B70" s="4"/>
      <c r="C70" s="4"/>
      <c r="D70" s="4"/>
    </row>
  </sheetData>
  <phoneticPr fontId="20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1"/>
  <sheetViews>
    <sheetView topLeftCell="A4" workbookViewId="0">
      <selection activeCell="G7" sqref="G7"/>
    </sheetView>
  </sheetViews>
  <sheetFormatPr defaultRowHeight="13.2"/>
  <cols>
    <col min="1" max="1" width="30.5546875" customWidth="1"/>
  </cols>
  <sheetData>
    <row r="1" spans="1:7" ht="17.399999999999999">
      <c r="A1" s="235" t="s">
        <v>128</v>
      </c>
    </row>
    <row r="2" spans="1:7" ht="17.399999999999999">
      <c r="A2" s="7"/>
      <c r="B2" s="8"/>
      <c r="C2" s="6"/>
      <c r="D2" s="9" t="s">
        <v>60</v>
      </c>
      <c r="E2" s="216">
        <f>MAX(D7:D11)</f>
        <v>100</v>
      </c>
      <c r="F2" s="37"/>
      <c r="G2" s="6"/>
    </row>
    <row r="3" spans="1:7">
      <c r="A3" s="37"/>
      <c r="B3" s="37"/>
      <c r="C3" s="37"/>
      <c r="D3" s="69" t="s">
        <v>9</v>
      </c>
      <c r="E3" s="166">
        <f>MIN(D7:D11)</f>
        <v>100</v>
      </c>
      <c r="F3" s="37" t="s">
        <v>10</v>
      </c>
      <c r="G3" s="37"/>
    </row>
    <row r="4" spans="1:7">
      <c r="A4" s="6"/>
      <c r="B4" s="11"/>
      <c r="C4" s="12"/>
      <c r="D4" s="12"/>
      <c r="E4" s="6"/>
      <c r="F4" s="6"/>
      <c r="G4" s="6"/>
    </row>
    <row r="5" spans="1:7" ht="26.4">
      <c r="A5" s="10"/>
      <c r="B5" s="38" t="s">
        <v>18</v>
      </c>
      <c r="C5" s="38" t="s">
        <v>19</v>
      </c>
      <c r="D5" s="38" t="s">
        <v>21</v>
      </c>
      <c r="E5" s="35" t="s">
        <v>6</v>
      </c>
      <c r="F5" s="5" t="s">
        <v>17</v>
      </c>
      <c r="G5" s="426" t="s">
        <v>143</v>
      </c>
    </row>
    <row r="6" spans="1:7" ht="30.75" customHeight="1">
      <c r="A6" s="395" t="s">
        <v>111</v>
      </c>
      <c r="B6" s="418">
        <v>16.47</v>
      </c>
      <c r="C6" s="419"/>
      <c r="D6" s="420">
        <v>16.47</v>
      </c>
      <c r="E6" s="251">
        <f>IF(D6="DNF",0,($B$17*D6+$B$18))</f>
        <v>50</v>
      </c>
      <c r="F6" s="255">
        <f>RANK(E6,$E$6:$E$12)</f>
        <v>1</v>
      </c>
      <c r="G6" s="18">
        <v>31</v>
      </c>
    </row>
    <row r="7" spans="1:7" ht="34.5" customHeight="1">
      <c r="A7" s="400" t="s">
        <v>132</v>
      </c>
      <c r="B7" s="421">
        <v>100</v>
      </c>
      <c r="C7" s="422"/>
      <c r="D7" s="423">
        <v>100</v>
      </c>
      <c r="E7" s="251">
        <f t="shared" ref="E7:E12" si="0">IF(D7="DNF",0,($B$17*D7+$B$18))</f>
        <v>0</v>
      </c>
      <c r="F7" s="255">
        <f t="shared" ref="F7:F12" si="1">RANK(E7,$E$6:$E$12)</f>
        <v>2</v>
      </c>
      <c r="G7" s="18"/>
    </row>
    <row r="8" spans="1:7" ht="32.4" customHeight="1">
      <c r="A8" s="400" t="s">
        <v>133</v>
      </c>
      <c r="B8" s="421">
        <v>100</v>
      </c>
      <c r="C8" s="422"/>
      <c r="D8" s="423">
        <v>100</v>
      </c>
      <c r="E8" s="251">
        <f t="shared" si="0"/>
        <v>0</v>
      </c>
      <c r="F8" s="255">
        <f t="shared" si="1"/>
        <v>2</v>
      </c>
      <c r="G8" s="18"/>
    </row>
    <row r="9" spans="1:7" ht="39.6" customHeight="1">
      <c r="A9" s="395" t="s">
        <v>113</v>
      </c>
      <c r="B9" s="421">
        <v>100</v>
      </c>
      <c r="C9" s="422"/>
      <c r="D9" s="423">
        <v>100</v>
      </c>
      <c r="E9" s="251">
        <f t="shared" si="0"/>
        <v>0</v>
      </c>
      <c r="F9" s="255">
        <f t="shared" si="1"/>
        <v>2</v>
      </c>
      <c r="G9" s="18"/>
    </row>
    <row r="10" spans="1:7" ht="33.6" customHeight="1">
      <c r="A10" s="400" t="s">
        <v>131</v>
      </c>
      <c r="B10" s="421">
        <v>100</v>
      </c>
      <c r="C10" s="422"/>
      <c r="D10" s="423">
        <v>100</v>
      </c>
      <c r="E10" s="251">
        <f t="shared" si="0"/>
        <v>0</v>
      </c>
      <c r="F10" s="255">
        <f t="shared" si="1"/>
        <v>2</v>
      </c>
      <c r="G10" s="18"/>
    </row>
    <row r="11" spans="1:7" ht="33.6" customHeight="1">
      <c r="A11" s="395" t="s">
        <v>114</v>
      </c>
      <c r="B11" s="421">
        <v>100</v>
      </c>
      <c r="C11" s="422"/>
      <c r="D11" s="423">
        <v>100</v>
      </c>
      <c r="E11" s="251">
        <f t="shared" si="0"/>
        <v>0</v>
      </c>
      <c r="F11" s="255">
        <f t="shared" si="1"/>
        <v>2</v>
      </c>
    </row>
    <row r="12" spans="1:7" ht="45" customHeight="1">
      <c r="A12" s="395" t="s">
        <v>115</v>
      </c>
      <c r="B12" s="421">
        <v>100</v>
      </c>
      <c r="C12" s="422"/>
      <c r="D12" s="423">
        <v>100</v>
      </c>
      <c r="E12" s="251">
        <f t="shared" si="0"/>
        <v>0</v>
      </c>
      <c r="F12" s="255">
        <f t="shared" si="1"/>
        <v>2</v>
      </c>
    </row>
    <row r="14" spans="1:7">
      <c r="A14" s="317" t="s">
        <v>92</v>
      </c>
      <c r="B14" s="206"/>
      <c r="C14" s="204"/>
    </row>
    <row r="15" spans="1:7" ht="17.399999999999999">
      <c r="A15" s="317" t="s">
        <v>73</v>
      </c>
      <c r="B15" s="307"/>
      <c r="C15" s="204"/>
      <c r="E15" s="304"/>
    </row>
    <row r="16" spans="1:7">
      <c r="A16" s="317" t="s">
        <v>99</v>
      </c>
      <c r="B16" s="307"/>
      <c r="C16" s="204"/>
    </row>
    <row r="17" spans="1:3">
      <c r="A17" s="11" t="s">
        <v>75</v>
      </c>
      <c r="B17" s="340">
        <f>IF(D7="DNF",0,(B21/(B19-B20)))</f>
        <v>-0.59858733389201479</v>
      </c>
      <c r="C17" s="204"/>
    </row>
    <row r="18" spans="1:3">
      <c r="A18" s="11" t="s">
        <v>94</v>
      </c>
      <c r="B18" s="316">
        <f>-(B17*B20)</f>
        <v>59.858733389201483</v>
      </c>
      <c r="C18" s="57"/>
    </row>
    <row r="19" spans="1:3">
      <c r="A19" s="11" t="s">
        <v>59</v>
      </c>
      <c r="B19" s="316">
        <f>MIN(D6:D12)</f>
        <v>16.47</v>
      </c>
      <c r="C19" s="339" t="s">
        <v>100</v>
      </c>
    </row>
    <row r="20" spans="1:3">
      <c r="A20" s="11" t="s">
        <v>58</v>
      </c>
      <c r="B20" s="316">
        <f>MAX(D6:D12)</f>
        <v>100</v>
      </c>
      <c r="C20" s="339" t="s">
        <v>100</v>
      </c>
    </row>
    <row r="21" spans="1:3">
      <c r="A21" s="11" t="s">
        <v>95</v>
      </c>
      <c r="B21" s="3">
        <v>50</v>
      </c>
      <c r="C21" s="57"/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zoomScale="90" workbookViewId="0">
      <selection activeCell="F10" sqref="F10"/>
    </sheetView>
  </sheetViews>
  <sheetFormatPr defaultRowHeight="13.2"/>
  <cols>
    <col min="1" max="1" width="36.33203125" customWidth="1"/>
    <col min="2" max="2" width="12.44140625" style="68" customWidth="1"/>
    <col min="3" max="3" width="12.6640625" customWidth="1"/>
    <col min="4" max="4" width="12.33203125" customWidth="1"/>
    <col min="5" max="5" width="14" customWidth="1"/>
    <col min="6" max="6" width="10.6640625" style="68" customWidth="1"/>
    <col min="7" max="7" width="9.88671875" customWidth="1"/>
    <col min="8" max="8" width="15.6640625" style="68" customWidth="1"/>
    <col min="9" max="9" width="13.5546875" style="68" customWidth="1"/>
    <col min="10" max="10" width="5.5546875" style="68" bestFit="1" customWidth="1"/>
    <col min="11" max="11" width="16.88671875" style="68" bestFit="1" customWidth="1"/>
  </cols>
  <sheetData>
    <row r="1" spans="1:11" ht="17.399999999999999">
      <c r="A1" s="7" t="s">
        <v>129</v>
      </c>
      <c r="B1" s="7"/>
      <c r="C1" s="6"/>
      <c r="D1" s="6"/>
      <c r="E1" s="6"/>
      <c r="F1" s="37"/>
      <c r="G1" s="6"/>
      <c r="H1" s="37"/>
      <c r="I1" s="37"/>
      <c r="J1" s="37"/>
      <c r="K1" s="37"/>
    </row>
    <row r="2" spans="1:11">
      <c r="A2" s="25"/>
      <c r="B2" s="224"/>
      <c r="C2" s="25"/>
      <c r="D2" s="25"/>
      <c r="E2" s="25"/>
      <c r="F2" s="224"/>
      <c r="G2" s="25"/>
      <c r="H2" s="224"/>
      <c r="I2" s="224"/>
      <c r="J2" s="37"/>
      <c r="K2" s="37"/>
    </row>
    <row r="3" spans="1:11" s="161" customFormat="1" ht="39.6">
      <c r="A3" s="160"/>
      <c r="B3" s="218" t="s">
        <v>22</v>
      </c>
      <c r="C3" s="38" t="s">
        <v>4</v>
      </c>
      <c r="D3" s="38" t="s">
        <v>36</v>
      </c>
      <c r="E3" s="38" t="s">
        <v>110</v>
      </c>
      <c r="F3" s="218" t="s">
        <v>62</v>
      </c>
      <c r="G3" s="38" t="s">
        <v>5</v>
      </c>
      <c r="H3" s="218" t="s">
        <v>37</v>
      </c>
      <c r="I3" s="218" t="s">
        <v>38</v>
      </c>
      <c r="J3" s="35" t="s">
        <v>35</v>
      </c>
      <c r="K3" s="218" t="s">
        <v>28</v>
      </c>
    </row>
    <row r="4" spans="1:11" ht="16.8">
      <c r="A4" s="395" t="s">
        <v>111</v>
      </c>
      <c r="B4" s="278"/>
      <c r="C4" s="278"/>
      <c r="D4" s="278">
        <v>-30</v>
      </c>
      <c r="E4" s="278"/>
      <c r="F4" s="278"/>
      <c r="G4" s="278"/>
      <c r="H4" s="278"/>
      <c r="I4" s="278"/>
      <c r="J4" s="222">
        <f>SUM(B4:I4)</f>
        <v>-30</v>
      </c>
      <c r="K4" s="351" t="s">
        <v>135</v>
      </c>
    </row>
    <row r="5" spans="1:11" ht="33.6">
      <c r="A5" s="400" t="s">
        <v>132</v>
      </c>
      <c r="B5" s="278"/>
      <c r="C5" s="278"/>
      <c r="D5" s="278"/>
      <c r="E5" s="278"/>
      <c r="F5" s="278"/>
      <c r="G5" s="278"/>
      <c r="H5" s="278"/>
      <c r="I5" s="278"/>
      <c r="J5" s="222">
        <f t="shared" ref="J5:J10" si="0">SUM(B5:I5)</f>
        <v>0</v>
      </c>
      <c r="K5" s="178"/>
    </row>
    <row r="6" spans="1:11" ht="33.6">
      <c r="A6" s="400" t="s">
        <v>133</v>
      </c>
      <c r="B6" s="278"/>
      <c r="C6" s="278">
        <v>-20</v>
      </c>
      <c r="D6" s="278"/>
      <c r="E6" s="278"/>
      <c r="F6" s="278"/>
      <c r="G6" s="278"/>
      <c r="H6" s="278"/>
      <c r="I6" s="278"/>
      <c r="J6" s="222">
        <f>SUM(B6:I6)</f>
        <v>-20</v>
      </c>
      <c r="K6" s="402" t="s">
        <v>134</v>
      </c>
    </row>
    <row r="7" spans="1:11" ht="33.6">
      <c r="A7" s="395" t="s">
        <v>113</v>
      </c>
      <c r="B7" s="278"/>
      <c r="C7" s="278"/>
      <c r="D7" s="278"/>
      <c r="E7" s="278"/>
      <c r="F7" s="278"/>
      <c r="G7" s="278"/>
      <c r="H7" s="278"/>
      <c r="I7" s="278"/>
      <c r="J7" s="222">
        <f t="shared" si="0"/>
        <v>0</v>
      </c>
      <c r="K7" s="351"/>
    </row>
    <row r="8" spans="1:11" ht="33.6">
      <c r="A8" s="400" t="s">
        <v>131</v>
      </c>
      <c r="B8" s="278"/>
      <c r="C8" s="278"/>
      <c r="D8" s="278"/>
      <c r="E8" s="278"/>
      <c r="F8" s="278"/>
      <c r="G8" s="278"/>
      <c r="H8" s="278"/>
      <c r="I8" s="278"/>
      <c r="J8" s="222">
        <f>SUM(B8:I8)</f>
        <v>0</v>
      </c>
      <c r="K8" s="277"/>
    </row>
    <row r="9" spans="1:11" ht="33.6">
      <c r="A9" s="395" t="s">
        <v>114</v>
      </c>
      <c r="B9" s="278"/>
      <c r="C9" s="278"/>
      <c r="D9" s="278"/>
      <c r="E9" s="278"/>
      <c r="F9" s="278"/>
      <c r="G9" s="278"/>
      <c r="H9" s="278"/>
      <c r="I9" s="278"/>
      <c r="J9" s="222">
        <f t="shared" si="0"/>
        <v>0</v>
      </c>
    </row>
    <row r="10" spans="1:11" ht="16.8">
      <c r="A10" s="395" t="s">
        <v>115</v>
      </c>
      <c r="B10" s="278"/>
      <c r="C10" s="278">
        <v>-50</v>
      </c>
      <c r="D10" s="278"/>
      <c r="E10" s="278"/>
      <c r="F10" s="278"/>
      <c r="G10" s="278"/>
      <c r="H10" s="278"/>
      <c r="I10" s="278"/>
      <c r="J10" s="222">
        <f t="shared" si="0"/>
        <v>-50</v>
      </c>
      <c r="K10" s="277" t="s">
        <v>136</v>
      </c>
    </row>
    <row r="11" spans="1:11">
      <c r="A11" s="192"/>
      <c r="B11" s="221"/>
      <c r="C11" s="212"/>
      <c r="D11" s="212"/>
      <c r="E11" s="212"/>
      <c r="F11" s="221"/>
      <c r="G11" s="339"/>
      <c r="H11" s="221"/>
      <c r="I11" s="221"/>
      <c r="J11" s="56"/>
      <c r="K11" s="223"/>
    </row>
    <row r="12" spans="1:11" s="143" customFormat="1">
      <c r="A12" s="192"/>
      <c r="B12" s="221"/>
      <c r="C12" s="212"/>
      <c r="D12" s="212"/>
      <c r="E12" s="212"/>
      <c r="F12" s="221"/>
      <c r="G12" s="212"/>
      <c r="H12" s="221"/>
      <c r="I12" s="221"/>
      <c r="J12" s="56"/>
      <c r="K12" s="223"/>
    </row>
    <row r="13" spans="1:11">
      <c r="A13" s="192"/>
      <c r="B13" s="221"/>
      <c r="C13" s="212"/>
      <c r="D13" s="212"/>
      <c r="E13" s="212"/>
      <c r="F13" s="221"/>
      <c r="G13" s="212"/>
      <c r="H13" s="221"/>
      <c r="I13" s="221"/>
      <c r="J13" s="56"/>
      <c r="K13" s="37"/>
    </row>
    <row r="14" spans="1:11">
      <c r="A14" s="192"/>
      <c r="B14" s="221"/>
      <c r="C14" s="212"/>
      <c r="D14" s="212"/>
      <c r="E14" s="212"/>
      <c r="F14" s="221"/>
      <c r="G14" s="212"/>
      <c r="H14" s="221"/>
      <c r="I14" s="221"/>
      <c r="J14" s="56"/>
      <c r="K14" s="37"/>
    </row>
    <row r="15" spans="1:11">
      <c r="A15" s="192"/>
      <c r="B15" s="221"/>
      <c r="C15" s="212"/>
      <c r="D15" s="212"/>
      <c r="E15" s="212"/>
      <c r="F15" s="221"/>
      <c r="G15" s="212"/>
      <c r="H15" s="221"/>
      <c r="I15" s="221"/>
      <c r="J15" s="56"/>
      <c r="K15" s="37"/>
    </row>
    <row r="16" spans="1:11" ht="15">
      <c r="A16" s="23"/>
      <c r="B16" s="225"/>
      <c r="C16" s="49"/>
      <c r="D16" s="49"/>
      <c r="E16" s="49"/>
      <c r="F16" s="193"/>
      <c r="G16" s="52"/>
      <c r="H16" s="221"/>
      <c r="I16" s="28"/>
      <c r="J16" s="37"/>
      <c r="K16" s="37"/>
    </row>
    <row r="17" spans="1:11" ht="15">
      <c r="A17" s="23"/>
      <c r="B17" s="225"/>
      <c r="C17" s="49"/>
      <c r="D17" s="49"/>
      <c r="E17" s="49"/>
      <c r="F17" s="193"/>
      <c r="G17" s="52"/>
      <c r="H17" s="221"/>
      <c r="I17" s="28"/>
      <c r="J17" s="37"/>
      <c r="K17" s="37"/>
    </row>
    <row r="18" spans="1:11" ht="15">
      <c r="A18" s="23"/>
      <c r="B18" s="225"/>
      <c r="C18" s="49"/>
      <c r="D18" s="49"/>
      <c r="E18" s="49"/>
      <c r="F18" s="193"/>
      <c r="G18" s="52"/>
      <c r="H18" s="221"/>
      <c r="I18" s="28"/>
      <c r="J18" s="37"/>
      <c r="K18" s="37"/>
    </row>
    <row r="19" spans="1:11" ht="15">
      <c r="A19" s="23"/>
      <c r="B19" s="225"/>
      <c r="C19" s="49"/>
      <c r="D19" s="49"/>
      <c r="E19" s="49"/>
      <c r="F19" s="193"/>
      <c r="G19" s="52"/>
      <c r="H19" s="221"/>
      <c r="I19" s="28"/>
      <c r="J19" s="37"/>
      <c r="K19" s="37"/>
    </row>
    <row r="20" spans="1:11" ht="15">
      <c r="A20" s="23"/>
      <c r="B20" s="225"/>
      <c r="C20" s="49"/>
      <c r="D20" s="49"/>
      <c r="E20" s="49"/>
      <c r="F20" s="193"/>
      <c r="G20" s="52"/>
      <c r="H20" s="221"/>
      <c r="I20" s="28"/>
      <c r="J20" s="37"/>
      <c r="K20" s="37"/>
    </row>
    <row r="21" spans="1:11" ht="15">
      <c r="A21" s="23"/>
      <c r="B21" s="225"/>
      <c r="C21" s="49"/>
      <c r="D21" s="49"/>
      <c r="E21" s="49"/>
      <c r="F21" s="193"/>
      <c r="G21" s="52"/>
      <c r="H21" s="221"/>
      <c r="I21" s="28"/>
      <c r="J21" s="37"/>
      <c r="K21" s="37"/>
    </row>
    <row r="22" spans="1:11" ht="15">
      <c r="A22" s="23"/>
      <c r="B22" s="225"/>
      <c r="C22" s="49"/>
      <c r="D22" s="49"/>
      <c r="E22" s="49"/>
      <c r="F22" s="193"/>
      <c r="G22" s="52"/>
      <c r="H22" s="221"/>
      <c r="I22" s="28"/>
      <c r="J22" s="37"/>
      <c r="K22" s="37"/>
    </row>
    <row r="23" spans="1:11" ht="15">
      <c r="A23" s="23"/>
      <c r="B23" s="225"/>
      <c r="C23" s="49"/>
      <c r="D23" s="49"/>
      <c r="E23" s="49"/>
      <c r="F23" s="193"/>
      <c r="G23" s="52"/>
      <c r="H23" s="221"/>
      <c r="I23" s="28"/>
      <c r="J23" s="37"/>
      <c r="K23" s="37"/>
    </row>
    <row r="24" spans="1:11">
      <c r="A24" s="23"/>
      <c r="B24" s="225"/>
      <c r="C24" s="49"/>
      <c r="D24" s="49"/>
      <c r="E24" s="49"/>
      <c r="F24" s="193"/>
      <c r="G24" s="52"/>
      <c r="H24" s="221"/>
      <c r="I24" s="224"/>
      <c r="J24" s="37"/>
      <c r="K24" s="37"/>
    </row>
    <row r="25" spans="1:11" ht="15">
      <c r="A25" s="23"/>
      <c r="B25" s="225"/>
      <c r="C25" s="49"/>
      <c r="D25" s="49"/>
      <c r="E25" s="49"/>
      <c r="F25" s="193"/>
      <c r="G25" s="52"/>
      <c r="H25" s="221"/>
      <c r="I25" s="28"/>
      <c r="J25" s="37"/>
      <c r="K25" s="37"/>
    </row>
    <row r="26" spans="1:11">
      <c r="A26" s="23"/>
      <c r="B26" s="225"/>
      <c r="C26" s="50"/>
      <c r="D26" s="50"/>
      <c r="E26" s="50"/>
      <c r="F26" s="193"/>
      <c r="G26" s="52"/>
      <c r="H26" s="221"/>
      <c r="I26" s="226"/>
    </row>
    <row r="27" spans="1:11">
      <c r="A27" s="1"/>
      <c r="B27" s="226"/>
      <c r="C27" s="1"/>
      <c r="D27" s="1"/>
      <c r="E27" s="1"/>
      <c r="F27" s="224"/>
      <c r="G27" s="1"/>
      <c r="H27" s="226"/>
      <c r="I27" s="226"/>
    </row>
    <row r="28" spans="1:11">
      <c r="A28" s="1"/>
      <c r="B28" s="226"/>
      <c r="C28" s="1"/>
      <c r="D28" s="1"/>
      <c r="E28" s="1"/>
      <c r="F28" s="226"/>
      <c r="G28" s="1"/>
      <c r="H28" s="226"/>
      <c r="I28" s="226"/>
    </row>
    <row r="29" spans="1:11">
      <c r="A29" s="1"/>
      <c r="B29" s="226"/>
      <c r="C29" s="1"/>
      <c r="D29" s="1"/>
      <c r="E29" s="1"/>
      <c r="F29" s="226"/>
      <c r="G29" s="1"/>
      <c r="H29" s="226"/>
      <c r="I29" s="226"/>
    </row>
  </sheetData>
  <phoneticPr fontId="20" type="noConversion"/>
  <printOptions gridLines="1"/>
  <pageMargins left="0.75" right="0.75" top="1" bottom="1" header="0.5" footer="0.5"/>
  <pageSetup scale="73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4" sqref="G4"/>
    </sheetView>
  </sheetViews>
  <sheetFormatPr defaultRowHeight="13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zoomScale="90" zoomScaleNormal="90" workbookViewId="0">
      <selection activeCell="M32" sqref="M32"/>
    </sheetView>
  </sheetViews>
  <sheetFormatPr defaultColWidth="9.109375" defaultRowHeight="13.2"/>
  <cols>
    <col min="1" max="1" width="20.5546875" style="170" customWidth="1"/>
    <col min="2" max="2" width="14.6640625" style="68" customWidth="1"/>
    <col min="3" max="7" width="15.6640625" style="170" customWidth="1"/>
    <col min="8" max="8" width="15.6640625" style="2" customWidth="1"/>
    <col min="9" max="9" width="15.6640625" style="217" customWidth="1"/>
    <col min="10" max="10" width="2.6640625" style="68" customWidth="1"/>
    <col min="11" max="16384" width="9.109375" style="68"/>
  </cols>
  <sheetData>
    <row r="1" spans="1:12" s="170" customFormat="1" ht="25.5" customHeight="1">
      <c r="A1" s="353" t="s">
        <v>117</v>
      </c>
      <c r="B1" s="171"/>
      <c r="C1" s="173"/>
      <c r="D1" s="173"/>
      <c r="E1" s="173"/>
      <c r="F1" s="173"/>
      <c r="G1" s="173"/>
      <c r="H1" s="377"/>
      <c r="I1" s="217"/>
    </row>
    <row r="2" spans="1:12" s="170" customFormat="1" ht="2.25" customHeight="1">
      <c r="B2" s="170" t="s">
        <v>43</v>
      </c>
      <c r="C2" s="172" t="s">
        <v>47</v>
      </c>
      <c r="D2" s="172" t="s">
        <v>61</v>
      </c>
      <c r="E2" s="172" t="s">
        <v>47</v>
      </c>
      <c r="F2" s="172" t="s">
        <v>47</v>
      </c>
      <c r="G2" s="172" t="s">
        <v>47</v>
      </c>
      <c r="H2" s="378"/>
      <c r="I2" s="217" t="s">
        <v>61</v>
      </c>
      <c r="J2" s="170" t="s">
        <v>47</v>
      </c>
    </row>
    <row r="3" spans="1:12" ht="55.5" customHeight="1">
      <c r="A3" s="260" t="s">
        <v>103</v>
      </c>
      <c r="B3" s="260"/>
      <c r="C3" s="396" t="s">
        <v>111</v>
      </c>
      <c r="D3" s="401" t="s">
        <v>132</v>
      </c>
      <c r="E3" s="401" t="s">
        <v>133</v>
      </c>
      <c r="F3" s="396" t="s">
        <v>113</v>
      </c>
      <c r="G3" s="401" t="s">
        <v>131</v>
      </c>
      <c r="H3" s="396" t="s">
        <v>114</v>
      </c>
      <c r="I3" s="396" t="s">
        <v>115</v>
      </c>
      <c r="J3" s="261"/>
      <c r="K3" s="261"/>
      <c r="L3" s="261"/>
    </row>
    <row r="4" spans="1:12" ht="15.75" customHeight="1">
      <c r="A4" s="262">
        <v>1</v>
      </c>
      <c r="B4" s="260"/>
      <c r="C4" s="343">
        <v>54</v>
      </c>
      <c r="D4" s="343"/>
      <c r="E4" s="343"/>
      <c r="F4" s="343">
        <v>46</v>
      </c>
      <c r="G4" s="369"/>
      <c r="H4" s="343">
        <v>48</v>
      </c>
      <c r="I4" s="273">
        <v>13</v>
      </c>
      <c r="J4" s="272"/>
      <c r="K4" s="272"/>
      <c r="L4" s="272"/>
    </row>
    <row r="5" spans="1:12" ht="15.75" customHeight="1">
      <c r="A5" s="262">
        <v>2</v>
      </c>
      <c r="B5" s="260"/>
      <c r="C5" s="343">
        <v>63</v>
      </c>
      <c r="D5" s="343">
        <v>86</v>
      </c>
      <c r="E5" s="343">
        <v>61</v>
      </c>
      <c r="F5" s="343">
        <v>59</v>
      </c>
      <c r="G5" s="343"/>
      <c r="H5" s="343"/>
      <c r="I5" s="273">
        <v>48</v>
      </c>
      <c r="J5" s="272"/>
      <c r="K5" s="272"/>
      <c r="L5" s="272"/>
    </row>
    <row r="6" spans="1:12" ht="17.399999999999999">
      <c r="A6" s="262">
        <v>3</v>
      </c>
      <c r="B6" s="262"/>
      <c r="C6" s="341">
        <v>48</v>
      </c>
      <c r="D6" s="341">
        <v>95</v>
      </c>
      <c r="E6" s="341">
        <v>56</v>
      </c>
      <c r="F6" s="341">
        <v>67</v>
      </c>
      <c r="G6" s="341">
        <v>35</v>
      </c>
      <c r="H6" s="341"/>
      <c r="I6" s="273">
        <v>45</v>
      </c>
      <c r="J6" s="272"/>
      <c r="K6" s="272"/>
      <c r="L6" s="272"/>
    </row>
    <row r="7" spans="1:12" ht="17.399999999999999">
      <c r="A7" s="262">
        <v>4</v>
      </c>
      <c r="B7" s="262"/>
      <c r="C7" s="341">
        <v>55</v>
      </c>
      <c r="D7" s="341">
        <v>47</v>
      </c>
      <c r="E7" s="341">
        <v>0</v>
      </c>
      <c r="F7" s="341">
        <v>55</v>
      </c>
      <c r="G7" s="341">
        <v>12</v>
      </c>
      <c r="H7" s="341">
        <v>40</v>
      </c>
      <c r="I7" s="273">
        <v>44</v>
      </c>
      <c r="J7" s="272"/>
      <c r="K7" s="272"/>
      <c r="L7" s="272"/>
    </row>
    <row r="8" spans="1:12" ht="17.399999999999999">
      <c r="A8" s="262">
        <v>5</v>
      </c>
      <c r="B8" s="263"/>
      <c r="C8" s="341">
        <v>85</v>
      </c>
      <c r="D8" s="341"/>
      <c r="E8" s="341"/>
      <c r="F8" s="341">
        <v>71</v>
      </c>
      <c r="G8" s="341"/>
      <c r="H8" s="341">
        <v>54</v>
      </c>
      <c r="I8" s="273">
        <v>50</v>
      </c>
      <c r="J8" s="272"/>
      <c r="K8" s="272"/>
      <c r="L8" s="272"/>
    </row>
    <row r="9" spans="1:12" ht="17.399999999999999">
      <c r="A9" s="262">
        <v>6</v>
      </c>
      <c r="B9" s="262"/>
      <c r="C9" s="341">
        <v>72</v>
      </c>
      <c r="D9" s="341">
        <v>90</v>
      </c>
      <c r="E9" s="341">
        <v>48</v>
      </c>
      <c r="F9" s="341">
        <v>91</v>
      </c>
      <c r="G9" s="341">
        <v>78</v>
      </c>
      <c r="H9" s="341">
        <v>54</v>
      </c>
      <c r="I9" s="273">
        <v>88</v>
      </c>
      <c r="J9" s="272"/>
      <c r="K9" s="272"/>
      <c r="L9" s="272"/>
    </row>
    <row r="10" spans="1:12" ht="17.399999999999999">
      <c r="A10" s="262">
        <v>7</v>
      </c>
      <c r="B10" s="262"/>
      <c r="C10" s="341">
        <v>74</v>
      </c>
      <c r="D10" s="341">
        <v>32</v>
      </c>
      <c r="E10" s="341">
        <v>0</v>
      </c>
      <c r="F10" s="341">
        <v>78</v>
      </c>
      <c r="G10" s="341">
        <v>37</v>
      </c>
      <c r="H10" s="341">
        <v>60</v>
      </c>
      <c r="I10" s="273">
        <v>71</v>
      </c>
      <c r="J10" s="272"/>
      <c r="K10" s="272"/>
      <c r="L10" s="272"/>
    </row>
    <row r="11" spans="1:12" ht="17.399999999999999">
      <c r="A11" s="262">
        <v>8</v>
      </c>
      <c r="B11" s="262"/>
      <c r="C11" s="341">
        <v>61</v>
      </c>
      <c r="D11" s="341"/>
      <c r="E11" s="341">
        <v>28</v>
      </c>
      <c r="F11" s="341">
        <v>51</v>
      </c>
      <c r="G11" s="341"/>
      <c r="H11" s="341">
        <v>69</v>
      </c>
      <c r="I11" s="273">
        <v>39</v>
      </c>
      <c r="J11" s="273"/>
      <c r="K11" s="273"/>
      <c r="L11" s="272"/>
    </row>
    <row r="12" spans="1:12" ht="17.399999999999999">
      <c r="A12" s="262">
        <v>9</v>
      </c>
      <c r="B12" s="262"/>
      <c r="C12" s="341">
        <v>90</v>
      </c>
      <c r="D12" s="341">
        <v>65</v>
      </c>
      <c r="E12" s="341">
        <v>36</v>
      </c>
      <c r="F12" s="341">
        <v>47</v>
      </c>
      <c r="G12" s="341">
        <v>32</v>
      </c>
      <c r="H12" s="341">
        <v>47</v>
      </c>
      <c r="I12" s="273">
        <v>54</v>
      </c>
      <c r="J12" s="273"/>
      <c r="K12" s="272"/>
      <c r="L12" s="272"/>
    </row>
    <row r="13" spans="1:12" ht="17.399999999999999">
      <c r="A13" s="345">
        <v>10</v>
      </c>
      <c r="B13" s="262"/>
      <c r="C13" s="341"/>
      <c r="D13" s="341"/>
      <c r="E13" s="341"/>
      <c r="F13" s="341"/>
      <c r="G13" s="341"/>
      <c r="H13" s="379"/>
      <c r="I13" s="271"/>
      <c r="J13" s="273"/>
      <c r="K13" s="272"/>
      <c r="L13" s="272"/>
    </row>
    <row r="14" spans="1:12" ht="17.399999999999999">
      <c r="A14" s="345">
        <v>11</v>
      </c>
      <c r="B14" s="262"/>
      <c r="C14" s="341"/>
      <c r="D14" s="341"/>
      <c r="E14" s="341"/>
      <c r="F14" s="341"/>
      <c r="G14" s="341"/>
      <c r="H14" s="379"/>
      <c r="I14" s="271"/>
      <c r="J14" s="273"/>
      <c r="K14" s="272"/>
      <c r="L14" s="272"/>
    </row>
    <row r="15" spans="1:12" ht="17.399999999999999">
      <c r="A15" s="345">
        <v>12</v>
      </c>
      <c r="B15" s="262"/>
      <c r="C15" s="341"/>
      <c r="D15" s="341"/>
      <c r="E15" s="341"/>
      <c r="F15" s="341"/>
      <c r="G15" s="341"/>
      <c r="H15" s="379"/>
      <c r="I15" s="271"/>
      <c r="J15" s="273"/>
      <c r="K15" s="272"/>
      <c r="L15" s="272"/>
    </row>
    <row r="16" spans="1:12" ht="17.399999999999999">
      <c r="A16" s="345">
        <v>13</v>
      </c>
      <c r="B16" s="262"/>
      <c r="C16" s="341"/>
      <c r="D16" s="341"/>
      <c r="E16" s="341"/>
      <c r="F16" s="341"/>
      <c r="G16" s="341"/>
      <c r="H16" s="379"/>
      <c r="I16" s="271"/>
      <c r="J16" s="273"/>
      <c r="K16" s="272"/>
      <c r="L16" s="272"/>
    </row>
    <row r="17" spans="1:12" ht="17.399999999999999">
      <c r="A17" s="345">
        <v>14</v>
      </c>
      <c r="B17" s="262"/>
      <c r="C17" s="341"/>
      <c r="D17" s="341"/>
      <c r="E17" s="341"/>
      <c r="F17" s="341"/>
      <c r="G17" s="341"/>
      <c r="H17" s="379"/>
      <c r="I17" s="271"/>
      <c r="J17" s="273"/>
      <c r="K17" s="272"/>
      <c r="L17" s="272"/>
    </row>
    <row r="18" spans="1:12" ht="17.399999999999999">
      <c r="A18" s="345">
        <v>15</v>
      </c>
      <c r="B18" s="262"/>
      <c r="C18" s="341"/>
      <c r="D18" s="341"/>
      <c r="E18" s="341"/>
      <c r="F18" s="341"/>
      <c r="G18" s="341"/>
      <c r="H18" s="379"/>
      <c r="I18" s="271"/>
      <c r="J18" s="273"/>
      <c r="K18" s="272"/>
      <c r="L18" s="272"/>
    </row>
    <row r="19" spans="1:12" ht="17.399999999999999">
      <c r="A19" s="345">
        <v>16</v>
      </c>
      <c r="B19" s="262"/>
      <c r="C19" s="341"/>
      <c r="D19" s="341"/>
      <c r="E19" s="341"/>
      <c r="F19" s="341"/>
      <c r="G19" s="341"/>
      <c r="H19" s="379"/>
      <c r="I19" s="271"/>
      <c r="J19" s="273"/>
      <c r="K19" s="272"/>
      <c r="L19" s="272"/>
    </row>
    <row r="20" spans="1:12" ht="17.399999999999999">
      <c r="A20" s="345">
        <v>17</v>
      </c>
      <c r="B20" s="262"/>
      <c r="C20" s="341"/>
      <c r="D20" s="341"/>
      <c r="E20" s="341"/>
      <c r="F20" s="341"/>
      <c r="G20" s="341"/>
      <c r="H20" s="379"/>
      <c r="I20" s="271"/>
      <c r="J20" s="273"/>
      <c r="K20" s="272"/>
      <c r="L20" s="272"/>
    </row>
    <row r="21" spans="1:12" ht="17.399999999999999">
      <c r="A21" s="345">
        <v>18</v>
      </c>
      <c r="B21" s="262"/>
      <c r="C21" s="341"/>
      <c r="D21" s="341"/>
      <c r="E21" s="341"/>
      <c r="F21" s="341"/>
      <c r="G21" s="341"/>
      <c r="H21" s="379"/>
      <c r="I21" s="271"/>
      <c r="J21" s="273"/>
      <c r="K21" s="272"/>
      <c r="L21" s="272"/>
    </row>
    <row r="22" spans="1:12" ht="17.399999999999999">
      <c r="A22" s="345">
        <v>19</v>
      </c>
      <c r="B22" s="262"/>
      <c r="C22" s="341"/>
      <c r="D22" s="341"/>
      <c r="E22" s="341"/>
      <c r="F22" s="341"/>
      <c r="G22" s="341"/>
      <c r="H22" s="379"/>
      <c r="I22" s="271"/>
      <c r="J22" s="273"/>
      <c r="K22" s="272"/>
      <c r="L22" s="272"/>
    </row>
    <row r="23" spans="1:12" ht="17.399999999999999">
      <c r="A23" s="345">
        <v>20</v>
      </c>
      <c r="B23" s="262"/>
      <c r="C23" s="341"/>
      <c r="D23" s="341"/>
      <c r="E23" s="341"/>
      <c r="F23" s="341"/>
      <c r="G23" s="341"/>
      <c r="H23" s="379"/>
      <c r="I23" s="271"/>
      <c r="J23" s="273"/>
      <c r="K23" s="272"/>
      <c r="L23" s="272"/>
    </row>
    <row r="24" spans="1:12" ht="17.399999999999999">
      <c r="A24" s="345">
        <v>21</v>
      </c>
      <c r="B24" s="262"/>
      <c r="C24" s="341"/>
      <c r="D24" s="341"/>
      <c r="E24" s="341"/>
      <c r="F24" s="341"/>
      <c r="G24" s="341"/>
      <c r="H24" s="379"/>
      <c r="I24" s="271"/>
      <c r="J24" s="273"/>
      <c r="K24" s="272"/>
      <c r="L24" s="272"/>
    </row>
    <row r="25" spans="1:12" ht="17.399999999999999">
      <c r="A25" s="345">
        <v>22</v>
      </c>
      <c r="B25" s="262"/>
      <c r="C25" s="341"/>
      <c r="D25" s="341"/>
      <c r="E25" s="341"/>
      <c r="F25" s="341"/>
      <c r="G25" s="341"/>
      <c r="H25" s="379"/>
      <c r="I25" s="271"/>
      <c r="J25" s="273"/>
      <c r="K25" s="272"/>
      <c r="L25" s="272"/>
    </row>
    <row r="26" spans="1:12" ht="17.399999999999999">
      <c r="A26" s="434"/>
      <c r="B26" s="262"/>
      <c r="C26" s="341"/>
      <c r="D26" s="341"/>
      <c r="E26" s="341"/>
      <c r="F26" s="341"/>
      <c r="G26" s="341"/>
      <c r="H26" s="379"/>
      <c r="I26" s="271"/>
      <c r="J26" s="273"/>
      <c r="K26" s="274" t="s">
        <v>25</v>
      </c>
      <c r="L26" s="272" t="s">
        <v>25</v>
      </c>
    </row>
    <row r="27" spans="1:12" ht="17.399999999999999">
      <c r="A27" s="262" t="s">
        <v>44</v>
      </c>
      <c r="B27" s="262"/>
      <c r="C27" s="275">
        <f>AVERAGE(C4:C26)</f>
        <v>66.888888888888886</v>
      </c>
      <c r="D27" s="275">
        <f>AVERAGE(D4:D26)</f>
        <v>69.166666666666671</v>
      </c>
      <c r="E27" s="275">
        <f>AVERAGE(E4:E26)</f>
        <v>32.714285714285715</v>
      </c>
      <c r="F27" s="275">
        <f t="shared" ref="F27:G27" si="0">AVERAGE(F4:F26)</f>
        <v>62.777777777777779</v>
      </c>
      <c r="G27" s="275">
        <f t="shared" si="0"/>
        <v>38.799999999999997</v>
      </c>
      <c r="H27" s="380">
        <f>AVERAGE(H4:H26)</f>
        <v>53.142857142857146</v>
      </c>
      <c r="I27" s="275">
        <f t="shared" ref="I27" si="1">AVERAGE(I4:I26)</f>
        <v>50.222222222222221</v>
      </c>
      <c r="J27" s="272"/>
      <c r="K27" s="274" t="s">
        <v>25</v>
      </c>
      <c r="L27" s="272" t="s">
        <v>25</v>
      </c>
    </row>
    <row r="28" spans="1:12" ht="17.399999999999999">
      <c r="A28" s="262" t="s">
        <v>29</v>
      </c>
      <c r="B28" s="261"/>
      <c r="C28" s="276">
        <f>IF(C27&lt;5,5,C27)</f>
        <v>66.888888888888886</v>
      </c>
      <c r="D28" s="276">
        <f>IF(D27&lt;5,5,D27)</f>
        <v>69.166666666666671</v>
      </c>
      <c r="E28" s="276">
        <f>IF(E27&lt;5,5,E27)</f>
        <v>32.714285714285715</v>
      </c>
      <c r="F28" s="276">
        <f t="shared" ref="F28:G28" si="2">IF(F27&lt;5,5,F27)</f>
        <v>62.777777777777779</v>
      </c>
      <c r="G28" s="276">
        <f t="shared" si="2"/>
        <v>38.799999999999997</v>
      </c>
      <c r="H28" s="276">
        <f>IF(H27&lt;5,5,H27)</f>
        <v>53.142857142857146</v>
      </c>
      <c r="I28" s="276">
        <f t="shared" ref="I28" si="3">IF(I27&lt;5,5,I27)</f>
        <v>50.222222222222221</v>
      </c>
      <c r="J28" s="272"/>
      <c r="K28" s="274"/>
      <c r="L28" s="272"/>
    </row>
    <row r="29" spans="1:12" ht="17.399999999999999">
      <c r="A29" s="262" t="s">
        <v>145</v>
      </c>
      <c r="B29" s="273"/>
      <c r="C29" s="273">
        <f t="shared" ref="C29:I29" si="4">RANK(C28,$C$28:$I$28)</f>
        <v>2</v>
      </c>
      <c r="D29" s="273">
        <f t="shared" si="4"/>
        <v>1</v>
      </c>
      <c r="E29" s="273">
        <f t="shared" si="4"/>
        <v>7</v>
      </c>
      <c r="F29" s="273">
        <f t="shared" si="4"/>
        <v>3</v>
      </c>
      <c r="G29" s="273">
        <f t="shared" si="4"/>
        <v>6</v>
      </c>
      <c r="H29" s="273">
        <f t="shared" si="4"/>
        <v>4</v>
      </c>
      <c r="I29" s="273">
        <f t="shared" si="4"/>
        <v>5</v>
      </c>
      <c r="J29" s="272"/>
      <c r="K29" s="274"/>
      <c r="L29" s="272"/>
    </row>
    <row r="31" spans="1:12">
      <c r="A31" s="346" t="s">
        <v>146</v>
      </c>
      <c r="C31" s="170">
        <f t="shared" ref="C31:H31" si="5">COUNT(C4:C26)</f>
        <v>9</v>
      </c>
      <c r="D31" s="170">
        <f t="shared" si="5"/>
        <v>6</v>
      </c>
      <c r="E31" s="170">
        <f t="shared" si="5"/>
        <v>7</v>
      </c>
      <c r="F31" s="170">
        <f t="shared" si="5"/>
        <v>9</v>
      </c>
      <c r="G31" s="170">
        <f t="shared" si="5"/>
        <v>5</v>
      </c>
      <c r="H31" s="170">
        <f t="shared" si="5"/>
        <v>7</v>
      </c>
      <c r="I31" s="170">
        <f t="shared" ref="I31" si="6">COUNT(I4:I26)</f>
        <v>9</v>
      </c>
    </row>
    <row r="41" spans="13:13">
      <c r="M41"/>
    </row>
  </sheetData>
  <phoneticPr fontId="20" type="noConversion"/>
  <printOptions gridLines="1"/>
  <pageMargins left="0.75" right="0.75" top="1" bottom="1" header="0.5" footer="0.5"/>
  <pageSetup scale="8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zoomScale="75" workbookViewId="0">
      <selection activeCell="D16" sqref="D16"/>
    </sheetView>
  </sheetViews>
  <sheetFormatPr defaultRowHeight="13.2"/>
  <cols>
    <col min="1" max="1" width="50.88671875" customWidth="1"/>
    <col min="2" max="2" width="13.33203125" bestFit="1" customWidth="1"/>
    <col min="3" max="3" width="12.109375" bestFit="1" customWidth="1"/>
  </cols>
  <sheetData>
    <row r="1" spans="1:8" s="229" customFormat="1" ht="30" customHeight="1">
      <c r="A1" s="230" t="s">
        <v>118</v>
      </c>
      <c r="B1" s="231"/>
      <c r="C1" s="231"/>
    </row>
    <row r="2" spans="1:8" s="229" customFormat="1" ht="30" customHeight="1">
      <c r="A2" s="231"/>
      <c r="B2" s="231"/>
      <c r="C2" s="231"/>
    </row>
    <row r="3" spans="1:8" s="229" customFormat="1" ht="30" customHeight="1">
      <c r="A3" s="257"/>
      <c r="B3" s="258" t="s">
        <v>6</v>
      </c>
      <c r="C3" s="259" t="s">
        <v>17</v>
      </c>
    </row>
    <row r="4" spans="1:8" s="229" customFormat="1" ht="24.9" customHeight="1">
      <c r="A4" s="395" t="s">
        <v>111</v>
      </c>
      <c r="B4" s="389">
        <v>50</v>
      </c>
      <c r="C4" s="354">
        <f>RANK(B4,$B$5:$B$10)</f>
        <v>1</v>
      </c>
    </row>
    <row r="5" spans="1:8" s="229" customFormat="1" ht="24.9" customHeight="1">
      <c r="A5" s="400" t="s">
        <v>112</v>
      </c>
      <c r="B5" s="389"/>
      <c r="C5" s="354"/>
    </row>
    <row r="6" spans="1:8" s="229" customFormat="1" ht="24.9" customHeight="1">
      <c r="A6" s="400" t="s">
        <v>133</v>
      </c>
      <c r="B6" s="389"/>
      <c r="C6" s="354"/>
      <c r="H6" s="390"/>
    </row>
    <row r="7" spans="1:8" s="229" customFormat="1" ht="24.9" customHeight="1">
      <c r="A7" s="395" t="s">
        <v>113</v>
      </c>
      <c r="B7" s="389">
        <v>50</v>
      </c>
      <c r="C7" s="354">
        <f t="shared" ref="C5:C10" si="0">RANK(B7,$B$5:$B$10)</f>
        <v>1</v>
      </c>
    </row>
    <row r="8" spans="1:8" s="229" customFormat="1" ht="24.9" customHeight="1">
      <c r="A8" s="400" t="s">
        <v>131</v>
      </c>
      <c r="B8" s="389"/>
      <c r="C8" s="354"/>
    </row>
    <row r="9" spans="1:8" s="229" customFormat="1" ht="24.9" customHeight="1">
      <c r="A9" s="395" t="s">
        <v>114</v>
      </c>
      <c r="B9" s="389">
        <v>50</v>
      </c>
      <c r="C9" s="354">
        <f t="shared" si="0"/>
        <v>1</v>
      </c>
    </row>
    <row r="10" spans="1:8" s="229" customFormat="1" ht="24.9" customHeight="1">
      <c r="A10" s="395" t="s">
        <v>115</v>
      </c>
      <c r="B10" s="389">
        <v>50</v>
      </c>
      <c r="C10" s="354">
        <f t="shared" si="0"/>
        <v>1</v>
      </c>
    </row>
    <row r="11" spans="1:8">
      <c r="A11" s="133"/>
      <c r="B11" s="185"/>
      <c r="C11" s="27"/>
    </row>
    <row r="12" spans="1:8">
      <c r="A12" s="133"/>
      <c r="B12" s="185"/>
      <c r="C12" s="27"/>
    </row>
    <row r="13" spans="1:8" s="143" customFormat="1">
      <c r="A13" s="133"/>
      <c r="B13" s="185"/>
      <c r="C13" s="169"/>
    </row>
    <row r="14" spans="1:8">
      <c r="A14" s="133"/>
      <c r="B14" s="185"/>
      <c r="C14" s="27"/>
    </row>
    <row r="15" spans="1:8">
      <c r="A15" s="133"/>
      <c r="B15" s="185"/>
      <c r="C15" s="27"/>
    </row>
    <row r="16" spans="1:8">
      <c r="A16" s="133"/>
      <c r="B16" s="185"/>
      <c r="C16" s="27"/>
    </row>
    <row r="19" spans="1:1">
      <c r="A19" s="23"/>
    </row>
    <row r="20" spans="1:1">
      <c r="A20" s="23"/>
    </row>
    <row r="21" spans="1:1">
      <c r="A21" s="23"/>
    </row>
    <row r="22" spans="1:1">
      <c r="A22" s="23"/>
    </row>
    <row r="23" spans="1:1">
      <c r="A23" s="23"/>
    </row>
    <row r="24" spans="1:1">
      <c r="A24" s="23"/>
    </row>
  </sheetData>
  <phoneticPr fontId="20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opLeftCell="A4" workbookViewId="0">
      <selection activeCell="E11" sqref="E11"/>
    </sheetView>
  </sheetViews>
  <sheetFormatPr defaultRowHeight="13.2"/>
  <cols>
    <col min="1" max="1" width="34.44140625" customWidth="1"/>
    <col min="2" max="3" width="11.44140625" bestFit="1" customWidth="1"/>
    <col min="4" max="4" width="9.109375" hidden="1" customWidth="1"/>
    <col min="5" max="5" width="14.88671875" customWidth="1"/>
    <col min="6" max="6" width="7.5546875" customWidth="1"/>
    <col min="7" max="7" width="10.33203125" customWidth="1"/>
    <col min="8" max="8" width="11.6640625" customWidth="1"/>
    <col min="9" max="9" width="13.6640625" customWidth="1"/>
    <col min="10" max="10" width="9.88671875" customWidth="1"/>
  </cols>
  <sheetData>
    <row r="1" spans="1:16" ht="17.399999999999999">
      <c r="A1" s="7" t="s">
        <v>119</v>
      </c>
      <c r="B1" s="6"/>
      <c r="C1" s="6"/>
      <c r="D1" s="6"/>
    </row>
    <row r="2" spans="1:16" s="68" customFormat="1">
      <c r="A2" s="37"/>
      <c r="B2" s="37"/>
      <c r="C2" s="37"/>
      <c r="D2" s="37"/>
    </row>
    <row r="3" spans="1:16" s="68" customFormat="1" ht="17.399999999999999">
      <c r="A3" s="37"/>
      <c r="B3" s="69"/>
      <c r="C3" s="80"/>
      <c r="D3" s="37"/>
      <c r="G3" s="293"/>
    </row>
    <row r="4" spans="1:16" s="68" customFormat="1" ht="52.8">
      <c r="A4" s="135" t="s">
        <v>67</v>
      </c>
      <c r="B4" s="135"/>
      <c r="C4" s="135" t="s">
        <v>41</v>
      </c>
      <c r="D4" s="135"/>
      <c r="E4" s="267" t="s">
        <v>68</v>
      </c>
      <c r="F4" s="267"/>
      <c r="G4" s="267" t="s">
        <v>69</v>
      </c>
      <c r="H4" s="267" t="s">
        <v>70</v>
      </c>
      <c r="I4" s="267" t="s">
        <v>71</v>
      </c>
      <c r="J4" s="267"/>
      <c r="K4" s="291" t="s">
        <v>79</v>
      </c>
      <c r="L4" s="267" t="s">
        <v>17</v>
      </c>
      <c r="M4"/>
    </row>
    <row r="5" spans="1:16" s="68" customFormat="1">
      <c r="A5"/>
      <c r="B5"/>
      <c r="C5" s="268"/>
      <c r="D5" s="268"/>
      <c r="E5"/>
      <c r="F5"/>
      <c r="G5" s="178"/>
      <c r="H5" s="178"/>
      <c r="I5" s="269"/>
      <c r="J5"/>
      <c r="K5"/>
      <c r="L5"/>
    </row>
    <row r="6" spans="1:16" ht="16.8">
      <c r="A6" s="395" t="s">
        <v>111</v>
      </c>
      <c r="C6" s="384">
        <v>17140.04</v>
      </c>
      <c r="D6" s="357"/>
      <c r="E6" s="358">
        <f t="shared" ref="E6:E12" si="0">-($B$17*C6)+$B$18</f>
        <v>14.792034845955971</v>
      </c>
      <c r="G6" s="387">
        <v>10</v>
      </c>
      <c r="H6" s="408">
        <v>10</v>
      </c>
      <c r="I6" s="409">
        <v>10</v>
      </c>
      <c r="K6" s="362">
        <f>SUM(E6:I6)</f>
        <v>44.792034845955968</v>
      </c>
      <c r="L6" s="363">
        <f>RANK(K6,$K$6:$K$12)</f>
        <v>1</v>
      </c>
    </row>
    <row r="7" spans="1:16" ht="15.75" customHeight="1">
      <c r="A7" s="400" t="s">
        <v>132</v>
      </c>
      <c r="C7" s="384"/>
      <c r="D7" s="357"/>
      <c r="E7" s="358"/>
      <c r="G7" s="410"/>
      <c r="H7" s="411"/>
      <c r="I7" s="412"/>
      <c r="K7" s="362">
        <f>SUM(E7:I7)</f>
        <v>0</v>
      </c>
      <c r="L7" s="363">
        <f t="shared" ref="L7:L12" si="1">RANK(K7,$K$6:$K$12)</f>
        <v>5</v>
      </c>
    </row>
    <row r="8" spans="1:16" ht="33.6">
      <c r="A8" s="400" t="s">
        <v>133</v>
      </c>
      <c r="C8" s="384">
        <v>16521.97</v>
      </c>
      <c r="D8" s="359"/>
      <c r="E8" s="358">
        <f t="shared" si="0"/>
        <v>15.255360721687003</v>
      </c>
      <c r="G8" s="410">
        <v>0</v>
      </c>
      <c r="H8" s="411">
        <v>0</v>
      </c>
      <c r="I8" s="412">
        <v>0</v>
      </c>
      <c r="K8" s="362">
        <f>SUM(E8:I8)</f>
        <v>15.255360721687003</v>
      </c>
      <c r="L8" s="363">
        <f t="shared" si="1"/>
        <v>4</v>
      </c>
      <c r="N8" s="432" t="s">
        <v>139</v>
      </c>
      <c r="O8" s="432"/>
      <c r="P8" s="432"/>
    </row>
    <row r="9" spans="1:16" ht="33.6">
      <c r="A9" s="395" t="s">
        <v>113</v>
      </c>
      <c r="C9" s="385">
        <v>36872.400000000001</v>
      </c>
      <c r="D9" s="357"/>
      <c r="E9" s="358">
        <f t="shared" si="0"/>
        <v>0</v>
      </c>
      <c r="G9" s="410">
        <v>10</v>
      </c>
      <c r="H9" s="411">
        <v>7</v>
      </c>
      <c r="I9" s="412">
        <v>3</v>
      </c>
      <c r="K9" s="362">
        <f t="shared" ref="K9:K12" si="2">SUM(E9:I9)</f>
        <v>20</v>
      </c>
      <c r="L9" s="363">
        <f t="shared" si="1"/>
        <v>3</v>
      </c>
      <c r="N9" s="178"/>
      <c r="O9" s="178"/>
      <c r="P9" s="178"/>
    </row>
    <row r="10" spans="1:16" ht="33.6">
      <c r="A10" s="400" t="s">
        <v>131</v>
      </c>
      <c r="C10" s="386"/>
      <c r="D10" s="360"/>
      <c r="E10" s="358"/>
      <c r="G10" s="410"/>
      <c r="H10" s="411"/>
      <c r="I10" s="412"/>
      <c r="K10" s="362">
        <f>SUM(E10:I10)</f>
        <v>0</v>
      </c>
      <c r="L10" s="363">
        <f t="shared" si="1"/>
        <v>5</v>
      </c>
      <c r="N10" s="178"/>
      <c r="O10" s="178"/>
      <c r="P10" s="178"/>
    </row>
    <row r="11" spans="1:16" ht="33.6">
      <c r="A11" s="395" t="s">
        <v>114</v>
      </c>
      <c r="C11" s="385"/>
      <c r="D11" s="357"/>
      <c r="E11" s="358"/>
      <c r="G11" s="410"/>
      <c r="H11" s="411"/>
      <c r="I11" s="412"/>
      <c r="K11" s="362">
        <f t="shared" si="2"/>
        <v>0</v>
      </c>
      <c r="L11" s="363">
        <f t="shared" si="1"/>
        <v>5</v>
      </c>
      <c r="N11" s="433" t="s">
        <v>140</v>
      </c>
      <c r="O11" s="433"/>
      <c r="P11" s="433"/>
    </row>
    <row r="12" spans="1:16" ht="33.6">
      <c r="A12" s="395" t="s">
        <v>115</v>
      </c>
      <c r="B12" s="58"/>
      <c r="C12" s="384">
        <v>10192.69</v>
      </c>
      <c r="D12" s="361"/>
      <c r="E12" s="358">
        <f t="shared" si="0"/>
        <v>20</v>
      </c>
      <c r="G12" s="410">
        <v>10</v>
      </c>
      <c r="H12" s="411">
        <v>8</v>
      </c>
      <c r="I12" s="412">
        <v>5</v>
      </c>
      <c r="K12" s="362">
        <f t="shared" si="2"/>
        <v>43</v>
      </c>
      <c r="L12" s="363">
        <f t="shared" si="1"/>
        <v>2</v>
      </c>
    </row>
    <row r="13" spans="1:16">
      <c r="A13" s="186"/>
      <c r="B13" s="58"/>
      <c r="C13" s="52"/>
      <c r="D13" s="6"/>
      <c r="K13" t="s">
        <v>80</v>
      </c>
    </row>
    <row r="14" spans="1:16" s="143" customFormat="1" ht="14.4">
      <c r="A14" s="290" t="s">
        <v>72</v>
      </c>
      <c r="B14" s="284"/>
      <c r="C14" s="286"/>
      <c r="D14" s="137"/>
    </row>
    <row r="15" spans="1:16">
      <c r="A15" s="285" t="s">
        <v>73</v>
      </c>
      <c r="B15" s="281"/>
      <c r="C15" s="283"/>
      <c r="D15" s="6"/>
      <c r="G15" t="s">
        <v>102</v>
      </c>
    </row>
    <row r="16" spans="1:16">
      <c r="A16" s="285" t="s">
        <v>74</v>
      </c>
      <c r="B16" s="281"/>
      <c r="C16" s="283"/>
      <c r="D16" s="6"/>
    </row>
    <row r="17" spans="1:4">
      <c r="A17" s="285" t="s">
        <v>75</v>
      </c>
      <c r="B17" s="288">
        <f>20/(B20-B19)</f>
        <v>7.4963333559472723E-4</v>
      </c>
      <c r="C17" s="283"/>
      <c r="D17" s="6"/>
    </row>
    <row r="18" spans="1:4">
      <c r="A18" s="285" t="s">
        <v>76</v>
      </c>
      <c r="B18" s="281">
        <f>20+(B17*B19)</f>
        <v>27.64078020338302</v>
      </c>
      <c r="C18" s="283"/>
      <c r="D18" s="6"/>
    </row>
    <row r="19" spans="1:4">
      <c r="A19" s="285" t="s">
        <v>59</v>
      </c>
      <c r="B19" s="413">
        <f>MIN(C6:C12)</f>
        <v>10192.69</v>
      </c>
      <c r="C19" s="283"/>
      <c r="D19" s="6"/>
    </row>
    <row r="20" spans="1:4">
      <c r="A20" s="282" t="s">
        <v>58</v>
      </c>
      <c r="B20" s="414">
        <f>MAX(C6:C12)</f>
        <v>36872.400000000001</v>
      </c>
      <c r="C20" s="283"/>
      <c r="D20" s="6"/>
    </row>
    <row r="21" spans="1:4">
      <c r="A21" s="282" t="s">
        <v>77</v>
      </c>
      <c r="B21" s="287">
        <v>20</v>
      </c>
      <c r="C21" s="283"/>
      <c r="D21" s="6"/>
    </row>
    <row r="22" spans="1:4">
      <c r="A22" s="282"/>
      <c r="B22" s="281"/>
      <c r="C22" s="283"/>
      <c r="D22" s="6"/>
    </row>
    <row r="23" spans="1:4">
      <c r="A23" s="289" t="s">
        <v>78</v>
      </c>
      <c r="B23" s="281"/>
      <c r="C23" s="283"/>
      <c r="D23" s="6"/>
    </row>
    <row r="24" spans="1:4">
      <c r="A24" s="49"/>
      <c r="C24" s="52"/>
      <c r="D24" s="6"/>
    </row>
    <row r="25" spans="1:4">
      <c r="A25" s="49"/>
      <c r="B25" s="39"/>
      <c r="C25" s="52"/>
      <c r="D25" s="6"/>
    </row>
    <row r="26" spans="1:4">
      <c r="A26" s="49"/>
      <c r="B26" s="39"/>
      <c r="C26" s="52"/>
      <c r="D26" s="6"/>
    </row>
    <row r="27" spans="1:4">
      <c r="A27" s="49"/>
      <c r="B27" s="39"/>
      <c r="C27" s="52"/>
      <c r="D27" s="6"/>
    </row>
    <row r="28" spans="1:4">
      <c r="A28" s="50"/>
      <c r="B28" s="39"/>
      <c r="C28" s="52"/>
    </row>
    <row r="29" spans="1:4">
      <c r="A29" s="1"/>
      <c r="B29" s="25"/>
      <c r="C29" s="1"/>
    </row>
    <row r="30" spans="1:4">
      <c r="A30" s="1"/>
      <c r="B30" s="1"/>
      <c r="C30" s="1"/>
    </row>
    <row r="31" spans="1:4">
      <c r="A31" s="1"/>
      <c r="B31" s="1"/>
      <c r="C31" s="1"/>
    </row>
  </sheetData>
  <mergeCells count="2">
    <mergeCell ref="N8:P8"/>
    <mergeCell ref="N11:P11"/>
  </mergeCells>
  <phoneticPr fontId="20" type="noConversion"/>
  <printOptions gridLines="1"/>
  <pageMargins left="0.75" right="0.75" top="1" bottom="1" header="0.5" footer="0.5"/>
  <pageSetup scale="72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workbookViewId="0">
      <selection activeCell="L11" sqref="L11"/>
    </sheetView>
  </sheetViews>
  <sheetFormatPr defaultRowHeight="13.2"/>
  <cols>
    <col min="1" max="1" width="42" customWidth="1"/>
    <col min="2" max="9" width="8.6640625" style="3" customWidth="1"/>
    <col min="10" max="10" width="10.5546875" customWidth="1"/>
    <col min="11" max="11" width="8.33203125" customWidth="1"/>
  </cols>
  <sheetData>
    <row r="1" spans="1:12" ht="17.399999999999999">
      <c r="A1" s="45" t="s">
        <v>120</v>
      </c>
      <c r="B1" s="41"/>
      <c r="C1" s="41"/>
      <c r="D1" s="41"/>
      <c r="E1" s="41"/>
      <c r="F1" s="41"/>
      <c r="G1" s="41"/>
      <c r="H1" s="41"/>
      <c r="I1" s="41"/>
      <c r="J1" s="30"/>
      <c r="K1" s="31"/>
      <c r="L1" s="30"/>
    </row>
    <row r="2" spans="1:12" ht="21">
      <c r="A2" s="245"/>
      <c r="B2" s="175"/>
      <c r="C2" s="175"/>
      <c r="D2" s="175"/>
      <c r="E2" s="175"/>
      <c r="F2" s="175"/>
      <c r="G2" s="175"/>
      <c r="H2" s="175"/>
      <c r="I2" s="175"/>
      <c r="J2" s="42"/>
      <c r="K2" s="31"/>
      <c r="L2" s="42"/>
    </row>
    <row r="3" spans="1:12" s="3" customFormat="1">
      <c r="A3" s="140"/>
      <c r="B3" s="215"/>
      <c r="C3" s="215"/>
      <c r="D3" s="215"/>
      <c r="E3" s="215"/>
      <c r="F3" s="215"/>
      <c r="G3" s="215"/>
      <c r="H3" s="215"/>
      <c r="I3" s="215"/>
      <c r="J3" s="43" t="s">
        <v>44</v>
      </c>
      <c r="K3" s="43" t="s">
        <v>29</v>
      </c>
      <c r="L3" s="46" t="s">
        <v>17</v>
      </c>
    </row>
    <row r="4" spans="1:12" ht="16.8">
      <c r="A4" s="395" t="s">
        <v>111</v>
      </c>
      <c r="B4" s="403">
        <v>37</v>
      </c>
      <c r="C4" s="404">
        <v>49.5</v>
      </c>
      <c r="D4" s="404">
        <v>39.5</v>
      </c>
      <c r="E4" s="404">
        <v>34</v>
      </c>
      <c r="F4" s="404">
        <v>46.5</v>
      </c>
      <c r="G4" s="404">
        <v>42</v>
      </c>
      <c r="H4" s="404">
        <v>44</v>
      </c>
      <c r="I4" s="404">
        <v>38.5</v>
      </c>
      <c r="J4" s="44">
        <f>AVERAGE(B4:I4)</f>
        <v>41.375</v>
      </c>
      <c r="K4" s="44">
        <f>IF(J4&lt;2.5,2.5,J4)</f>
        <v>41.375</v>
      </c>
      <c r="L4" s="47">
        <f>RANK($K4,$K$4:$K$10)</f>
        <v>1</v>
      </c>
    </row>
    <row r="5" spans="1:12" ht="33.6">
      <c r="A5" s="400" t="s">
        <v>132</v>
      </c>
      <c r="B5" s="350"/>
      <c r="C5" s="350"/>
      <c r="D5" s="350"/>
      <c r="E5" s="350"/>
      <c r="F5" s="350"/>
      <c r="G5" s="350"/>
      <c r="H5" s="350"/>
      <c r="I5" s="350"/>
      <c r="J5" s="44"/>
      <c r="K5" s="44"/>
      <c r="L5" s="47"/>
    </row>
    <row r="6" spans="1:12" ht="33.6">
      <c r="A6" s="400" t="s">
        <v>133</v>
      </c>
      <c r="B6" s="370"/>
      <c r="C6" s="370"/>
      <c r="D6" s="370"/>
      <c r="E6" s="370"/>
      <c r="F6" s="370"/>
      <c r="G6" s="370"/>
      <c r="H6" s="370"/>
      <c r="I6" s="370"/>
      <c r="J6" s="44"/>
      <c r="K6" s="44"/>
      <c r="L6" s="47"/>
    </row>
    <row r="7" spans="1:12" ht="16.8">
      <c r="A7" s="395" t="s">
        <v>113</v>
      </c>
      <c r="B7" s="371"/>
      <c r="C7" s="371"/>
      <c r="D7" s="371"/>
      <c r="E7" s="371"/>
      <c r="F7" s="371"/>
      <c r="G7" s="371"/>
      <c r="H7" s="371"/>
      <c r="I7" s="371"/>
      <c r="J7" s="44"/>
      <c r="K7" s="44"/>
      <c r="L7" s="47"/>
    </row>
    <row r="8" spans="1:12" ht="16.8">
      <c r="A8" s="400" t="s">
        <v>131</v>
      </c>
      <c r="B8" s="370"/>
      <c r="C8" s="370"/>
      <c r="D8" s="370"/>
      <c r="E8" s="370"/>
      <c r="F8" s="370"/>
      <c r="G8" s="370"/>
      <c r="H8" s="370"/>
      <c r="I8" s="370"/>
      <c r="J8" s="44"/>
      <c r="K8" s="44"/>
      <c r="L8" s="47"/>
    </row>
    <row r="9" spans="1:12" ht="16.8">
      <c r="A9" s="395" t="s">
        <v>114</v>
      </c>
      <c r="B9" s="371"/>
      <c r="C9" s="371"/>
      <c r="D9" s="371"/>
      <c r="E9" s="371"/>
      <c r="F9" s="371"/>
      <c r="G9" s="371"/>
      <c r="H9" s="371"/>
      <c r="I9" s="371"/>
      <c r="J9" s="44"/>
      <c r="K9" s="44"/>
      <c r="L9" s="47"/>
    </row>
    <row r="10" spans="1:12" ht="16.8">
      <c r="A10" s="395" t="s">
        <v>115</v>
      </c>
      <c r="B10" s="372"/>
      <c r="C10" s="372"/>
      <c r="D10" s="372"/>
      <c r="E10" s="372"/>
      <c r="F10" s="372"/>
      <c r="G10" s="372"/>
      <c r="H10" s="372"/>
      <c r="I10" s="372"/>
      <c r="J10" s="44"/>
      <c r="K10" s="44"/>
      <c r="L10" s="47"/>
    </row>
    <row r="11" spans="1:12">
      <c r="A11" s="192"/>
      <c r="B11" s="193"/>
      <c r="C11" s="294"/>
      <c r="D11" s="193"/>
      <c r="E11" s="193"/>
      <c r="F11" s="193"/>
      <c r="G11" s="193"/>
      <c r="H11" s="193"/>
      <c r="I11" s="193"/>
      <c r="J11" s="63"/>
      <c r="K11" s="140"/>
    </row>
    <row r="12" spans="1:12" s="143" customFormat="1">
      <c r="A12" s="192"/>
      <c r="B12" s="164"/>
      <c r="C12" s="164"/>
      <c r="D12" s="164"/>
      <c r="E12" s="164"/>
      <c r="F12" s="164"/>
      <c r="G12" s="164"/>
      <c r="H12" s="164"/>
      <c r="I12" s="164"/>
      <c r="J12" s="194"/>
      <c r="K12" s="140"/>
    </row>
    <row r="13" spans="1:12">
      <c r="A13" s="192"/>
      <c r="B13" s="39"/>
      <c r="C13" s="39"/>
      <c r="D13" s="39"/>
      <c r="E13" s="39"/>
      <c r="F13" s="39"/>
      <c r="G13" s="39"/>
      <c r="H13" s="39"/>
      <c r="I13" s="39"/>
      <c r="J13" s="295" t="s">
        <v>81</v>
      </c>
      <c r="K13" s="140"/>
    </row>
    <row r="14" spans="1:12">
      <c r="A14" s="192"/>
      <c r="B14" s="195"/>
      <c r="C14" s="195"/>
      <c r="D14" s="196"/>
      <c r="E14" s="196"/>
      <c r="F14" s="196"/>
      <c r="G14" s="196"/>
      <c r="H14" s="196"/>
      <c r="I14" s="196"/>
      <c r="J14" s="194"/>
      <c r="K14" s="140"/>
    </row>
    <row r="15" spans="1:12">
      <c r="A15" s="192"/>
      <c r="B15" s="196"/>
      <c r="C15" s="196"/>
      <c r="D15" s="196"/>
      <c r="E15" s="196"/>
      <c r="F15" s="196"/>
      <c r="G15" s="196"/>
      <c r="H15" s="196"/>
      <c r="I15" s="196"/>
      <c r="J15" s="194"/>
      <c r="K15" s="140"/>
    </row>
    <row r="16" spans="1:12">
      <c r="B16" s="176"/>
      <c r="C16" s="176"/>
      <c r="D16" s="41"/>
      <c r="E16" s="41"/>
      <c r="F16" s="41"/>
      <c r="G16" s="41"/>
      <c r="H16" s="41"/>
      <c r="I16" s="41"/>
      <c r="J16" s="30"/>
      <c r="K16" s="30"/>
    </row>
    <row r="28" spans="2:3">
      <c r="B28" s="177"/>
      <c r="C28" s="177"/>
    </row>
    <row r="36" spans="2:3">
      <c r="B36" s="177"/>
      <c r="C36" s="177"/>
    </row>
  </sheetData>
  <phoneticPr fontId="20" type="noConversion"/>
  <printOptions gridLines="1"/>
  <pageMargins left="0.75" right="0.75" top="1" bottom="1" header="0.5" footer="0.5"/>
  <pageSetup scale="94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workbookViewId="0">
      <selection activeCell="D13" sqref="D13"/>
    </sheetView>
  </sheetViews>
  <sheetFormatPr defaultRowHeight="13.2"/>
  <cols>
    <col min="1" max="1" width="38.44140625" customWidth="1"/>
    <col min="2" max="2" width="11.88671875" customWidth="1"/>
    <col min="3" max="3" width="13.88671875" bestFit="1" customWidth="1"/>
    <col min="4" max="4" width="25.109375" customWidth="1"/>
    <col min="5" max="5" width="10.109375" customWidth="1"/>
    <col min="6" max="6" width="12.44140625" customWidth="1"/>
    <col min="8" max="8" width="10.88671875" customWidth="1"/>
    <col min="9" max="9" width="12.6640625" customWidth="1"/>
    <col min="11" max="11" width="41.88671875" customWidth="1"/>
  </cols>
  <sheetData>
    <row r="1" spans="1:18" ht="17.399999999999999">
      <c r="A1" s="7" t="s">
        <v>121</v>
      </c>
      <c r="B1" s="7"/>
      <c r="C1" s="7"/>
      <c r="D1" s="6"/>
      <c r="E1" s="6" t="s">
        <v>49</v>
      </c>
      <c r="F1" s="132">
        <f>MAX(B7:B11)</f>
        <v>0</v>
      </c>
      <c r="G1" s="6" t="s">
        <v>7</v>
      </c>
      <c r="H1" s="64" t="s">
        <v>25</v>
      </c>
      <c r="K1" s="65"/>
    </row>
    <row r="2" spans="1:18">
      <c r="A2" s="6"/>
      <c r="B2" s="6"/>
      <c r="C2" s="6"/>
      <c r="D2" s="6"/>
      <c r="E2" s="6" t="s">
        <v>50</v>
      </c>
      <c r="F2" s="132">
        <f>MIN(B7:B11)</f>
        <v>0</v>
      </c>
      <c r="G2" s="6" t="s">
        <v>7</v>
      </c>
      <c r="H2" s="64" t="s">
        <v>25</v>
      </c>
      <c r="K2" s="65"/>
    </row>
    <row r="3" spans="1:18">
      <c r="A3" s="10"/>
      <c r="B3" s="10"/>
      <c r="C3" s="10"/>
      <c r="D3" s="51"/>
      <c r="E3" s="6" t="s">
        <v>25</v>
      </c>
      <c r="F3" s="131" t="s">
        <v>25</v>
      </c>
      <c r="G3" s="6" t="s">
        <v>25</v>
      </c>
      <c r="H3" s="64" t="s">
        <v>25</v>
      </c>
      <c r="K3" s="65"/>
    </row>
    <row r="4" spans="1:18">
      <c r="A4" s="12"/>
      <c r="B4" s="12"/>
      <c r="C4" s="12"/>
      <c r="D4" s="12"/>
      <c r="E4" s="12"/>
      <c r="F4" s="6"/>
      <c r="G4" s="6"/>
      <c r="J4" s="6"/>
      <c r="K4" s="66"/>
      <c r="L4" s="66"/>
    </row>
    <row r="5" spans="1:18" ht="26.4">
      <c r="A5" s="11"/>
      <c r="B5" s="38" t="s">
        <v>48</v>
      </c>
      <c r="C5" s="38" t="s">
        <v>12</v>
      </c>
      <c r="D5" s="218" t="s">
        <v>17</v>
      </c>
      <c r="E5" s="35"/>
      <c r="F5" s="35"/>
      <c r="G5" s="162"/>
      <c r="H5" s="35"/>
      <c r="K5" s="35"/>
      <c r="M5" s="161" t="s">
        <v>25</v>
      </c>
    </row>
    <row r="6" spans="1:18" s="240" customFormat="1" ht="16.8">
      <c r="A6" s="395" t="s">
        <v>111</v>
      </c>
      <c r="B6" s="428">
        <v>10.78</v>
      </c>
      <c r="C6" s="253"/>
      <c r="D6" s="256"/>
      <c r="E6" s="349"/>
      <c r="F6" s="427" t="s">
        <v>144</v>
      </c>
      <c r="H6" s="241"/>
      <c r="J6" s="135"/>
      <c r="K6" s="242"/>
      <c r="M6" s="243"/>
      <c r="N6" s="68"/>
      <c r="O6" s="68"/>
      <c r="P6" s="68"/>
      <c r="Q6" s="68"/>
    </row>
    <row r="7" spans="1:18" s="240" customFormat="1" ht="33.6">
      <c r="A7" s="400" t="s">
        <v>132</v>
      </c>
      <c r="B7" s="374"/>
      <c r="C7" s="253"/>
      <c r="D7" s="256"/>
      <c r="E7" s="58"/>
      <c r="F7" s="277"/>
      <c r="H7" s="241"/>
      <c r="J7" s="135"/>
      <c r="K7" s="242"/>
      <c r="M7" s="243" t="s">
        <v>25</v>
      </c>
      <c r="N7" s="68"/>
      <c r="O7" s="68"/>
      <c r="P7" s="68"/>
      <c r="Q7" s="68"/>
    </row>
    <row r="8" spans="1:18" s="240" customFormat="1" ht="33.6">
      <c r="A8" s="400" t="s">
        <v>133</v>
      </c>
      <c r="B8" s="374"/>
      <c r="C8" s="253"/>
      <c r="D8" s="256"/>
      <c r="E8" s="17"/>
      <c r="F8" s="170"/>
      <c r="H8" s="241"/>
      <c r="J8" s="135"/>
      <c r="K8" s="242"/>
      <c r="M8" s="243"/>
      <c r="N8" s="68"/>
      <c r="O8" s="68"/>
      <c r="P8" s="68"/>
      <c r="Q8" s="68"/>
    </row>
    <row r="9" spans="1:18" s="68" customFormat="1" ht="33.6">
      <c r="A9" s="395" t="s">
        <v>113</v>
      </c>
      <c r="B9" s="374"/>
      <c r="C9" s="253"/>
      <c r="D9" s="256"/>
      <c r="E9" s="17"/>
      <c r="F9" s="170"/>
      <c r="H9" s="60"/>
      <c r="J9" s="135"/>
      <c r="K9" s="37"/>
      <c r="M9" s="238"/>
    </row>
    <row r="10" spans="1:18" s="240" customFormat="1" ht="33.6">
      <c r="A10" s="400" t="s">
        <v>131</v>
      </c>
      <c r="B10" s="374"/>
      <c r="C10" s="253"/>
      <c r="D10" s="256"/>
      <c r="E10" s="17"/>
      <c r="F10" s="170"/>
      <c r="H10" s="241"/>
      <c r="J10" s="135"/>
      <c r="K10" s="242"/>
      <c r="M10" s="243" t="s">
        <v>25</v>
      </c>
      <c r="N10" s="68"/>
      <c r="O10" s="68"/>
      <c r="P10" s="68"/>
      <c r="Q10" s="68"/>
    </row>
    <row r="11" spans="1:18" s="68" customFormat="1" ht="33.6">
      <c r="A11" s="395" t="s">
        <v>114</v>
      </c>
      <c r="B11" s="374"/>
      <c r="C11" s="253"/>
      <c r="D11" s="256"/>
      <c r="E11" s="17"/>
      <c r="F11" s="170"/>
      <c r="H11" s="60"/>
      <c r="J11" s="135"/>
      <c r="K11" s="37"/>
      <c r="M11" s="238"/>
    </row>
    <row r="12" spans="1:18" ht="16.8">
      <c r="A12" s="395" t="s">
        <v>115</v>
      </c>
      <c r="B12" s="375"/>
      <c r="C12" s="253"/>
      <c r="D12" s="256"/>
      <c r="E12" s="141"/>
      <c r="F12" s="17"/>
      <c r="G12" s="21"/>
      <c r="I12" s="53"/>
      <c r="K12" s="163"/>
      <c r="L12" s="6"/>
      <c r="O12" s="68"/>
      <c r="P12" s="68"/>
      <c r="Q12" s="68"/>
      <c r="R12" s="68"/>
    </row>
    <row r="13" spans="1:18">
      <c r="A13" s="133"/>
      <c r="B13" s="140"/>
      <c r="C13" s="299" t="s">
        <v>82</v>
      </c>
      <c r="D13" s="127"/>
      <c r="E13" s="141"/>
      <c r="F13" s="17"/>
      <c r="G13" s="21"/>
      <c r="I13" s="53"/>
      <c r="K13" s="163"/>
      <c r="L13" s="6"/>
      <c r="O13" s="68"/>
      <c r="P13" s="68"/>
      <c r="Q13" s="68"/>
      <c r="R13" s="68"/>
    </row>
    <row r="14" spans="1:18" ht="17.399999999999999">
      <c r="A14" s="133"/>
      <c r="B14" s="304"/>
      <c r="C14" s="187"/>
      <c r="D14" s="127"/>
      <c r="E14" s="141"/>
      <c r="F14" s="17"/>
      <c r="G14" s="21"/>
      <c r="H14" s="6"/>
      <c r="I14" s="6"/>
      <c r="J14" s="6"/>
      <c r="K14" s="163"/>
    </row>
    <row r="15" spans="1:18" ht="14.4">
      <c r="A15" s="298" t="s">
        <v>72</v>
      </c>
      <c r="B15" s="301"/>
      <c r="C15" s="187"/>
      <c r="D15" s="127"/>
      <c r="E15" s="141"/>
      <c r="F15" s="17"/>
      <c r="G15" s="21"/>
      <c r="H15" s="6"/>
      <c r="I15" s="6"/>
      <c r="J15" s="6"/>
      <c r="K15" s="163"/>
    </row>
    <row r="16" spans="1:18">
      <c r="A16" s="297" t="s">
        <v>73</v>
      </c>
      <c r="B16" s="300"/>
      <c r="C16" s="187"/>
      <c r="D16" s="127"/>
      <c r="E16" s="141"/>
      <c r="F16" s="17"/>
      <c r="G16" s="21"/>
      <c r="H16" s="6"/>
      <c r="I16" s="6"/>
      <c r="J16" s="6"/>
      <c r="K16" s="163"/>
    </row>
    <row r="17" spans="1:10">
      <c r="A17" s="297" t="s">
        <v>74</v>
      </c>
      <c r="B17" s="300"/>
      <c r="I17" s="6"/>
      <c r="J17" s="6"/>
    </row>
    <row r="18" spans="1:10">
      <c r="A18" s="297" t="s">
        <v>75</v>
      </c>
      <c r="B18" s="302" t="e">
        <f>100/(B21-B20)</f>
        <v>#DIV/0!</v>
      </c>
      <c r="C18" s="355" t="s">
        <v>107</v>
      </c>
      <c r="D18" s="6"/>
      <c r="E18" s="6"/>
      <c r="F18" s="6"/>
      <c r="G18" s="6"/>
      <c r="H18" s="6"/>
      <c r="I18" s="6"/>
      <c r="J18" s="6"/>
    </row>
    <row r="19" spans="1:10">
      <c r="A19" s="297" t="s">
        <v>76</v>
      </c>
      <c r="B19" s="302" t="e">
        <f>-(B18*B20)</f>
        <v>#DIV/0!</v>
      </c>
      <c r="C19" s="355" t="s">
        <v>107</v>
      </c>
      <c r="E19" s="6"/>
    </row>
    <row r="20" spans="1:10">
      <c r="A20" s="297" t="s">
        <v>59</v>
      </c>
      <c r="B20" s="305">
        <f>MIN(B6:B11)</f>
        <v>10.78</v>
      </c>
    </row>
    <row r="21" spans="1:10">
      <c r="A21" s="296" t="s">
        <v>58</v>
      </c>
      <c r="B21" s="373">
        <f>MAX(B6:B11)</f>
        <v>10.78</v>
      </c>
      <c r="C21" s="135"/>
    </row>
    <row r="22" spans="1:10">
      <c r="A22" s="296" t="s">
        <v>77</v>
      </c>
      <c r="B22" s="303">
        <v>100</v>
      </c>
    </row>
  </sheetData>
  <phoneticPr fontId="20" type="noConversion"/>
  <printOptions gridLines="1"/>
  <pageMargins left="0.75" right="0.75" top="1" bottom="1" header="0.5" footer="0.5"/>
  <pageSetup scale="5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7"/>
  <sheetViews>
    <sheetView zoomScale="70" zoomScaleNormal="70" workbookViewId="0">
      <selection activeCell="W5" sqref="W5"/>
    </sheetView>
  </sheetViews>
  <sheetFormatPr defaultRowHeight="13.2"/>
  <cols>
    <col min="1" max="1" width="36.44140625" customWidth="1"/>
    <col min="2" max="18" width="5.6640625" customWidth="1"/>
    <col min="19" max="20" width="6.6640625" customWidth="1"/>
    <col min="21" max="26" width="5.6640625" customWidth="1"/>
  </cols>
  <sheetData>
    <row r="1" spans="1:29" ht="17.399999999999999">
      <c r="A1" s="45" t="s">
        <v>122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9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9">
      <c r="A3" s="3" t="s">
        <v>109</v>
      </c>
      <c r="B3" s="38">
        <v>1</v>
      </c>
      <c r="C3" s="38">
        <v>2</v>
      </c>
      <c r="D3" s="38">
        <v>3</v>
      </c>
      <c r="E3" s="38">
        <v>4</v>
      </c>
      <c r="F3" s="38">
        <v>5</v>
      </c>
      <c r="G3" s="38">
        <v>6</v>
      </c>
      <c r="H3" s="38">
        <v>7</v>
      </c>
      <c r="I3" s="38">
        <v>8</v>
      </c>
      <c r="J3" s="38">
        <v>9</v>
      </c>
      <c r="K3" s="38">
        <v>10</v>
      </c>
      <c r="L3" s="38">
        <v>11</v>
      </c>
      <c r="M3" s="38">
        <v>12</v>
      </c>
      <c r="N3" s="38">
        <v>13</v>
      </c>
      <c r="O3" s="38">
        <v>14</v>
      </c>
      <c r="P3" s="38">
        <v>15</v>
      </c>
      <c r="Q3" s="38">
        <v>16</v>
      </c>
      <c r="R3" s="38">
        <v>17</v>
      </c>
      <c r="S3" s="38">
        <v>18</v>
      </c>
      <c r="T3" s="38">
        <v>19</v>
      </c>
      <c r="U3" s="38">
        <v>20</v>
      </c>
      <c r="V3" s="38">
        <v>21</v>
      </c>
      <c r="W3" s="38">
        <v>22</v>
      </c>
      <c r="X3" s="38">
        <v>23</v>
      </c>
      <c r="Y3" s="38">
        <v>24</v>
      </c>
      <c r="Z3" s="38">
        <v>25</v>
      </c>
      <c r="AA3" s="43" t="s">
        <v>44</v>
      </c>
      <c r="AB3" s="43" t="s">
        <v>29</v>
      </c>
      <c r="AC3" s="46" t="s">
        <v>17</v>
      </c>
    </row>
    <row r="4" spans="1:29" ht="16.8">
      <c r="A4" s="395" t="s">
        <v>111</v>
      </c>
      <c r="B4" s="364">
        <v>62.5</v>
      </c>
      <c r="C4" s="382">
        <v>50</v>
      </c>
      <c r="D4" s="382">
        <v>76</v>
      </c>
      <c r="E4" s="382">
        <v>67.5</v>
      </c>
      <c r="F4" s="382">
        <v>67.5</v>
      </c>
      <c r="G4" s="382">
        <v>55</v>
      </c>
      <c r="H4" s="382">
        <v>87</v>
      </c>
      <c r="I4" s="382">
        <v>41</v>
      </c>
      <c r="J4" s="382">
        <v>41.5</v>
      </c>
      <c r="K4" s="383">
        <v>67.5</v>
      </c>
      <c r="L4" s="383">
        <v>60</v>
      </c>
      <c r="M4" s="383">
        <v>53</v>
      </c>
      <c r="N4" s="383">
        <v>61</v>
      </c>
      <c r="O4" s="383">
        <v>78</v>
      </c>
      <c r="P4" s="383">
        <v>71</v>
      </c>
      <c r="Q4" s="383">
        <v>71</v>
      </c>
      <c r="R4" s="383">
        <v>47.5</v>
      </c>
      <c r="S4" s="383">
        <v>84.5</v>
      </c>
      <c r="T4" s="383">
        <v>85</v>
      </c>
      <c r="U4" s="383">
        <v>45</v>
      </c>
      <c r="V4" s="407">
        <v>48.5</v>
      </c>
      <c r="W4" s="368"/>
      <c r="X4" s="367"/>
      <c r="Y4" s="367"/>
      <c r="Z4" s="367"/>
      <c r="AA4" s="219">
        <f>AVERAGE(B4:Z4)</f>
        <v>62.857142857142854</v>
      </c>
      <c r="AB4" s="219">
        <f>IF(AA4&lt;5,5,AA4)</f>
        <v>62.857142857142854</v>
      </c>
      <c r="AC4" s="220">
        <f>RANK(AB4,$AB$4:$AB$10)</f>
        <v>1</v>
      </c>
    </row>
    <row r="5" spans="1:29" s="68" customFormat="1" ht="33.6">
      <c r="A5" s="400" t="s">
        <v>132</v>
      </c>
      <c r="B5" s="381"/>
      <c r="C5" s="381"/>
      <c r="D5" s="381"/>
      <c r="E5" s="381"/>
      <c r="F5" s="381"/>
      <c r="G5" s="381"/>
      <c r="H5" s="381"/>
      <c r="I5" s="381"/>
      <c r="J5" s="381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219"/>
      <c r="AB5" s="219"/>
      <c r="AC5" s="220"/>
    </row>
    <row r="6" spans="1:29" s="68" customFormat="1" ht="33.6">
      <c r="A6" s="400" t="s">
        <v>133</v>
      </c>
      <c r="B6" s="381">
        <v>55</v>
      </c>
      <c r="C6" s="381">
        <v>27.5</v>
      </c>
      <c r="D6" s="381">
        <v>22.5</v>
      </c>
      <c r="E6" s="381">
        <v>37.5</v>
      </c>
      <c r="F6" s="381">
        <v>37.5</v>
      </c>
      <c r="G6" s="381">
        <v>19</v>
      </c>
      <c r="H6" s="381">
        <v>27</v>
      </c>
      <c r="I6" s="381">
        <v>20</v>
      </c>
      <c r="J6" s="381">
        <v>25</v>
      </c>
      <c r="K6" s="342">
        <v>22</v>
      </c>
      <c r="L6" s="342">
        <v>18</v>
      </c>
      <c r="M6" s="342">
        <v>5</v>
      </c>
      <c r="N6" s="342">
        <v>20</v>
      </c>
      <c r="O6" s="342">
        <v>15</v>
      </c>
      <c r="P6" s="342">
        <v>19.5</v>
      </c>
      <c r="Q6" s="342">
        <v>25</v>
      </c>
      <c r="R6" s="342">
        <v>36</v>
      </c>
      <c r="S6" s="342">
        <v>30</v>
      </c>
      <c r="T6" s="342">
        <v>17</v>
      </c>
      <c r="U6" s="342">
        <v>62</v>
      </c>
      <c r="V6" s="342">
        <v>10</v>
      </c>
      <c r="W6" s="342"/>
      <c r="X6" s="342"/>
      <c r="Y6" s="342"/>
      <c r="Z6" s="342"/>
      <c r="AA6" s="219">
        <f>AVERAGE(B6:Z6)</f>
        <v>26.214285714285715</v>
      </c>
      <c r="AB6" s="219">
        <f>IF(AA6&lt;5,5,AA6)</f>
        <v>26.214285714285715</v>
      </c>
      <c r="AC6" s="220">
        <f>RANK(AB6,$AB$4:$AB$10)</f>
        <v>4</v>
      </c>
    </row>
    <row r="7" spans="1:29" s="68" customFormat="1" ht="33.6">
      <c r="A7" s="395" t="s">
        <v>113</v>
      </c>
      <c r="B7" s="381">
        <v>72.5</v>
      </c>
      <c r="C7" s="381">
        <v>49</v>
      </c>
      <c r="D7" s="381">
        <v>27</v>
      </c>
      <c r="E7" s="381">
        <v>35</v>
      </c>
      <c r="F7" s="381">
        <v>70</v>
      </c>
      <c r="G7" s="381">
        <v>83</v>
      </c>
      <c r="H7" s="381">
        <v>55</v>
      </c>
      <c r="I7" s="381">
        <v>85</v>
      </c>
      <c r="J7" s="381">
        <v>40</v>
      </c>
      <c r="K7" s="342">
        <v>70</v>
      </c>
      <c r="L7" s="342">
        <v>45</v>
      </c>
      <c r="M7" s="342">
        <v>74</v>
      </c>
      <c r="N7" s="342">
        <v>57.5</v>
      </c>
      <c r="O7" s="342">
        <v>40.5</v>
      </c>
      <c r="P7" s="342">
        <v>78</v>
      </c>
      <c r="Q7" s="342">
        <v>50</v>
      </c>
      <c r="R7" s="342">
        <v>70</v>
      </c>
      <c r="S7" s="342">
        <v>65</v>
      </c>
      <c r="T7" s="342">
        <v>78</v>
      </c>
      <c r="U7" s="342">
        <v>37</v>
      </c>
      <c r="V7" s="342">
        <v>27.5</v>
      </c>
      <c r="W7" s="342"/>
      <c r="X7" s="342"/>
      <c r="Y7" s="342"/>
      <c r="Z7" s="342"/>
      <c r="AA7" s="219">
        <f t="shared" ref="AA7:AA10" si="0">AVERAGE(B7:Z7)</f>
        <v>57.571428571428569</v>
      </c>
      <c r="AB7" s="219">
        <f t="shared" ref="AB7:AB10" si="1">IF(AA7&lt;5,5,AA7)</f>
        <v>57.571428571428569</v>
      </c>
      <c r="AC7" s="220">
        <f t="shared" ref="AC7:AC10" si="2">RANK(AB7,$AB$4:$AB$10)</f>
        <v>2</v>
      </c>
    </row>
    <row r="8" spans="1:29" s="68" customFormat="1" ht="33.6">
      <c r="A8" s="400" t="s">
        <v>131</v>
      </c>
      <c r="B8" s="381"/>
      <c r="C8" s="381"/>
      <c r="D8" s="381"/>
      <c r="E8" s="381"/>
      <c r="F8" s="381"/>
      <c r="G8" s="381"/>
      <c r="H8" s="381"/>
      <c r="I8" s="381"/>
      <c r="J8" s="381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219"/>
      <c r="AB8" s="219"/>
      <c r="AC8" s="220"/>
    </row>
    <row r="9" spans="1:29" ht="33.6">
      <c r="A9" s="395" t="s">
        <v>114</v>
      </c>
      <c r="B9" s="364">
        <v>57.5</v>
      </c>
      <c r="C9" s="364">
        <v>33</v>
      </c>
      <c r="D9" s="364">
        <v>47.5</v>
      </c>
      <c r="E9" s="364">
        <v>57.5</v>
      </c>
      <c r="F9" s="364">
        <v>57.5</v>
      </c>
      <c r="G9" s="364">
        <v>52.5</v>
      </c>
      <c r="H9" s="364">
        <v>75</v>
      </c>
      <c r="I9" s="364">
        <v>27</v>
      </c>
      <c r="J9" s="364">
        <v>51</v>
      </c>
      <c r="K9" s="244">
        <v>33</v>
      </c>
      <c r="L9" s="244">
        <v>50</v>
      </c>
      <c r="M9" s="244">
        <v>60</v>
      </c>
      <c r="N9" s="244">
        <v>73</v>
      </c>
      <c r="O9" s="244">
        <v>65</v>
      </c>
      <c r="P9" s="244">
        <v>74</v>
      </c>
      <c r="Q9" s="244">
        <v>64</v>
      </c>
      <c r="R9" s="244">
        <v>52.5</v>
      </c>
      <c r="S9" s="244">
        <v>34</v>
      </c>
      <c r="T9" s="244">
        <v>30</v>
      </c>
      <c r="U9" s="244">
        <v>27</v>
      </c>
      <c r="V9" s="244">
        <v>28</v>
      </c>
      <c r="W9" s="244"/>
      <c r="X9" s="244"/>
      <c r="Y9" s="244"/>
      <c r="Z9" s="244"/>
      <c r="AA9" s="219">
        <f t="shared" si="0"/>
        <v>49.952380952380949</v>
      </c>
      <c r="AB9" s="219">
        <f t="shared" si="1"/>
        <v>49.952380952380949</v>
      </c>
      <c r="AC9" s="220">
        <f t="shared" si="2"/>
        <v>3</v>
      </c>
    </row>
    <row r="10" spans="1:29" ht="16.8">
      <c r="A10" s="395" t="s">
        <v>115</v>
      </c>
      <c r="B10" s="364">
        <v>15</v>
      </c>
      <c r="C10" s="364">
        <v>30</v>
      </c>
      <c r="D10" s="364">
        <v>16</v>
      </c>
      <c r="E10" s="364">
        <v>10</v>
      </c>
      <c r="F10" s="364">
        <v>13</v>
      </c>
      <c r="G10" s="364">
        <v>25</v>
      </c>
      <c r="H10" s="364">
        <v>20</v>
      </c>
      <c r="I10" s="364">
        <v>28</v>
      </c>
      <c r="J10" s="364">
        <v>36</v>
      </c>
      <c r="K10" s="244">
        <v>15</v>
      </c>
      <c r="L10" s="244">
        <v>20</v>
      </c>
      <c r="M10" s="244">
        <v>30</v>
      </c>
      <c r="N10" s="244">
        <v>42.5</v>
      </c>
      <c r="O10" s="244">
        <v>15</v>
      </c>
      <c r="P10" s="244">
        <v>9</v>
      </c>
      <c r="Q10" s="244">
        <v>0</v>
      </c>
      <c r="R10" s="244">
        <v>9</v>
      </c>
      <c r="S10" s="244">
        <v>15</v>
      </c>
      <c r="T10" s="244">
        <v>14</v>
      </c>
      <c r="U10" s="244">
        <v>22.5</v>
      </c>
      <c r="V10" s="244">
        <v>7.5</v>
      </c>
      <c r="W10" s="244"/>
      <c r="X10" s="244"/>
      <c r="Y10" s="244"/>
      <c r="Z10" s="244"/>
      <c r="AA10" s="219">
        <f t="shared" si="0"/>
        <v>18.69047619047619</v>
      </c>
      <c r="AB10" s="219">
        <f t="shared" si="1"/>
        <v>18.69047619047619</v>
      </c>
      <c r="AC10" s="220">
        <f t="shared" si="2"/>
        <v>5</v>
      </c>
    </row>
    <row r="11" spans="1:29" s="168" customFormat="1">
      <c r="A11" s="198"/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44"/>
      <c r="AB11" s="44"/>
      <c r="AC11" s="47"/>
    </row>
    <row r="12" spans="1:29">
      <c r="A12" s="19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4"/>
      <c r="AB12" s="44"/>
      <c r="AC12" s="47"/>
    </row>
    <row r="13" spans="1:29" ht="17.399999999999999">
      <c r="A13" s="192"/>
      <c r="B13" s="1"/>
      <c r="C13" s="1"/>
      <c r="D13" s="1"/>
      <c r="E13" s="1"/>
      <c r="F13" s="30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4"/>
      <c r="AB13" s="44"/>
      <c r="AC13" s="47"/>
    </row>
    <row r="14" spans="1:29">
      <c r="A14" s="19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4"/>
      <c r="AB14" s="44"/>
      <c r="AC14" s="47"/>
    </row>
    <row r="16" spans="1:29">
      <c r="AA16" s="63"/>
    </row>
    <row r="17" spans="27:27">
      <c r="AA17" s="180"/>
    </row>
  </sheetData>
  <phoneticPr fontId="20" type="noConversion"/>
  <printOptions gridLines="1"/>
  <pageMargins left="0.21" right="0.2" top="1" bottom="1" header="0.5" footer="0.5"/>
  <pageSetup scale="54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1"/>
  <sheetViews>
    <sheetView workbookViewId="0">
      <selection activeCell="F15" sqref="F15"/>
    </sheetView>
  </sheetViews>
  <sheetFormatPr defaultRowHeight="13.2"/>
  <cols>
    <col min="1" max="1" width="42" customWidth="1"/>
    <col min="2" max="2" width="11" customWidth="1"/>
    <col min="3" max="3" width="21.44140625" customWidth="1"/>
    <col min="4" max="4" width="14.109375" customWidth="1"/>
    <col min="5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s="233" customFormat="1" ht="17.399999999999999">
      <c r="A1" s="233" t="s">
        <v>123</v>
      </c>
    </row>
    <row r="2" spans="1:16" ht="17.399999999999999">
      <c r="A2" s="7"/>
      <c r="B2" s="158"/>
      <c r="C2" s="6"/>
      <c r="D2" s="9"/>
      <c r="E2" s="19"/>
      <c r="F2" s="53"/>
      <c r="G2" s="53"/>
      <c r="H2" s="9"/>
      <c r="I2" s="6"/>
      <c r="J2" s="6"/>
      <c r="K2" s="6"/>
      <c r="L2" s="6"/>
      <c r="M2" s="6"/>
      <c r="N2" s="6"/>
      <c r="O2" s="6"/>
      <c r="P2" s="6"/>
    </row>
    <row r="3" spans="1:16" s="68" customFormat="1">
      <c r="A3" s="37"/>
      <c r="D3" s="9"/>
      <c r="E3" s="19"/>
      <c r="F3" s="60"/>
      <c r="G3" s="60"/>
      <c r="H3" s="69"/>
      <c r="I3" s="37"/>
      <c r="J3" s="37"/>
      <c r="K3" s="37"/>
      <c r="L3" s="37"/>
      <c r="M3" s="37"/>
      <c r="N3" s="37"/>
      <c r="O3" s="37"/>
      <c r="P3" s="37"/>
    </row>
    <row r="4" spans="1:16">
      <c r="A4" s="10"/>
      <c r="C4" s="56" t="s">
        <v>57</v>
      </c>
      <c r="D4" s="56" t="s">
        <v>25</v>
      </c>
      <c r="E4" s="56" t="s">
        <v>27</v>
      </c>
      <c r="F4" s="56" t="s">
        <v>45</v>
      </c>
      <c r="G4" s="56" t="s">
        <v>46</v>
      </c>
      <c r="H4" s="12"/>
      <c r="I4" s="6"/>
      <c r="J4" s="6"/>
      <c r="K4" s="6"/>
      <c r="L4" s="6"/>
      <c r="M4" s="6"/>
      <c r="N4" s="6"/>
      <c r="O4" s="6"/>
      <c r="P4" s="6"/>
    </row>
    <row r="5" spans="1:16">
      <c r="A5" s="6"/>
      <c r="B5" s="415" t="s">
        <v>56</v>
      </c>
      <c r="C5" s="24" t="s">
        <v>29</v>
      </c>
      <c r="D5" s="24"/>
      <c r="E5" s="24" t="s">
        <v>29</v>
      </c>
      <c r="F5" s="24" t="s">
        <v>6</v>
      </c>
      <c r="G5" s="24" t="s">
        <v>29</v>
      </c>
      <c r="H5" s="24" t="s">
        <v>17</v>
      </c>
      <c r="I5" s="24"/>
      <c r="J5" s="20"/>
      <c r="K5" s="20"/>
      <c r="L5" s="5"/>
      <c r="M5" s="5"/>
      <c r="N5" s="5"/>
      <c r="O5" s="5"/>
      <c r="P5" s="2"/>
    </row>
    <row r="6" spans="1:16" ht="16.8">
      <c r="A6" s="395" t="s">
        <v>111</v>
      </c>
      <c r="B6" s="416">
        <v>61</v>
      </c>
      <c r="C6" s="244">
        <f t="shared" ref="C6:C12" si="0">IF(B6="DNF", 0,(10^(($B$19-B6)/10)*75))</f>
        <v>75</v>
      </c>
      <c r="D6" s="244"/>
      <c r="E6" s="388">
        <v>1</v>
      </c>
      <c r="F6" s="251">
        <v>75</v>
      </c>
      <c r="G6" s="250">
        <f>C6+F6</f>
        <v>150</v>
      </c>
      <c r="H6" s="252">
        <v>1</v>
      </c>
      <c r="I6" s="57"/>
      <c r="J6" s="59"/>
      <c r="K6" s="29"/>
      <c r="L6" s="18"/>
      <c r="M6" s="58"/>
      <c r="N6" s="18"/>
      <c r="O6" s="18"/>
      <c r="P6" s="3"/>
    </row>
    <row r="7" spans="1:16" ht="33.6">
      <c r="A7" s="400" t="s">
        <v>132</v>
      </c>
      <c r="B7" s="417" t="s">
        <v>141</v>
      </c>
      <c r="C7" s="244" t="e">
        <f t="shared" si="0"/>
        <v>#VALUE!</v>
      </c>
      <c r="D7" s="244"/>
      <c r="E7" s="397"/>
      <c r="F7" s="251"/>
      <c r="G7" s="250"/>
      <c r="H7" s="252"/>
      <c r="I7" s="57"/>
      <c r="J7" s="59"/>
      <c r="K7" s="29"/>
      <c r="L7" s="18"/>
      <c r="M7" s="58"/>
      <c r="N7" s="18"/>
      <c r="O7" s="18"/>
      <c r="P7" s="3"/>
    </row>
    <row r="8" spans="1:16" ht="33.6">
      <c r="A8" s="400" t="s">
        <v>133</v>
      </c>
      <c r="B8" s="417" t="s">
        <v>141</v>
      </c>
      <c r="C8" s="244" t="e">
        <f t="shared" si="0"/>
        <v>#VALUE!</v>
      </c>
      <c r="D8" s="244"/>
      <c r="E8" s="397"/>
      <c r="F8" s="251"/>
      <c r="G8" s="250"/>
      <c r="H8" s="252"/>
      <c r="I8" s="57"/>
      <c r="J8" s="59"/>
      <c r="K8" s="29"/>
      <c r="L8" s="18"/>
      <c r="M8" s="58"/>
      <c r="N8" s="18"/>
      <c r="O8" s="18"/>
      <c r="P8" s="3"/>
    </row>
    <row r="9" spans="1:16" s="239" customFormat="1" ht="16.8">
      <c r="A9" s="395" t="s">
        <v>113</v>
      </c>
      <c r="B9" s="417" t="s">
        <v>141</v>
      </c>
      <c r="C9" s="244" t="e">
        <f t="shared" si="0"/>
        <v>#VALUE!</v>
      </c>
      <c r="D9" s="244"/>
      <c r="E9" s="397"/>
      <c r="F9" s="251"/>
      <c r="G9" s="250"/>
      <c r="H9" s="252"/>
      <c r="I9" s="236"/>
      <c r="J9" s="246"/>
      <c r="K9" s="227"/>
      <c r="L9" s="247"/>
      <c r="M9" s="234"/>
      <c r="N9" s="247"/>
      <c r="O9" s="247"/>
      <c r="P9" s="248"/>
    </row>
    <row r="10" spans="1:16" ht="16.8">
      <c r="A10" s="400" t="s">
        <v>131</v>
      </c>
      <c r="B10" s="417" t="s">
        <v>141</v>
      </c>
      <c r="C10" s="244" t="e">
        <f t="shared" si="0"/>
        <v>#VALUE!</v>
      </c>
      <c r="D10" s="244"/>
      <c r="E10" s="397"/>
      <c r="F10" s="251"/>
      <c r="G10" s="250"/>
      <c r="H10" s="252"/>
      <c r="I10" s="57"/>
      <c r="J10" s="59"/>
      <c r="K10" s="29"/>
      <c r="L10" s="18"/>
      <c r="M10" s="58"/>
      <c r="N10" s="18"/>
      <c r="O10" s="18"/>
      <c r="P10" s="3"/>
    </row>
    <row r="11" spans="1:16" ht="16.8">
      <c r="A11" s="395" t="s">
        <v>114</v>
      </c>
      <c r="B11" s="417" t="s">
        <v>141</v>
      </c>
      <c r="C11" s="244" t="e">
        <f t="shared" si="0"/>
        <v>#VALUE!</v>
      </c>
      <c r="D11" s="292"/>
      <c r="E11" s="397"/>
      <c r="F11" s="251"/>
      <c r="G11" s="250"/>
      <c r="H11" s="252"/>
    </row>
    <row r="12" spans="1:16" ht="16.8">
      <c r="A12" s="395" t="s">
        <v>115</v>
      </c>
      <c r="B12" s="417" t="s">
        <v>141</v>
      </c>
      <c r="C12" s="244" t="e">
        <f t="shared" si="0"/>
        <v>#VALUE!</v>
      </c>
      <c r="D12" s="364"/>
      <c r="E12" s="397"/>
      <c r="F12" s="251"/>
      <c r="G12" s="250"/>
      <c r="H12" s="252"/>
      <c r="I12" s="57"/>
      <c r="J12" s="59"/>
      <c r="K12" s="29"/>
      <c r="L12" s="18"/>
      <c r="M12" s="58"/>
      <c r="N12" s="18"/>
      <c r="O12" s="18"/>
      <c r="P12" s="3"/>
    </row>
    <row r="13" spans="1:16">
      <c r="A13" s="133"/>
      <c r="B13" s="200"/>
      <c r="C13" s="16"/>
      <c r="D13" s="313" t="s">
        <v>86</v>
      </c>
      <c r="E13" s="315">
        <f>MIN(E6:E12)</f>
        <v>1</v>
      </c>
      <c r="F13" s="17"/>
      <c r="G13" s="17"/>
      <c r="H13" s="56"/>
      <c r="I13" s="57"/>
      <c r="J13" s="59"/>
      <c r="K13" s="29"/>
      <c r="L13" s="18"/>
      <c r="M13" s="58"/>
      <c r="N13" s="18"/>
      <c r="O13" s="18"/>
      <c r="P13" s="3"/>
    </row>
    <row r="14" spans="1:16" s="143" customFormat="1">
      <c r="A14" s="133"/>
      <c r="B14" s="200"/>
      <c r="C14" s="16"/>
      <c r="D14" s="314" t="s">
        <v>87</v>
      </c>
      <c r="E14" s="315">
        <f>MAX(E6:E12)</f>
        <v>1</v>
      </c>
      <c r="F14" s="17"/>
      <c r="G14" s="17"/>
      <c r="H14" s="56"/>
      <c r="I14" s="148"/>
      <c r="J14" s="149"/>
      <c r="K14" s="150"/>
      <c r="L14" s="144"/>
      <c r="M14" s="151"/>
      <c r="N14" s="144"/>
      <c r="O14" s="144"/>
      <c r="P14" s="142"/>
    </row>
    <row r="15" spans="1:16" s="143" customFormat="1" ht="17.399999999999999">
      <c r="A15" s="133"/>
      <c r="B15" s="200"/>
      <c r="C15" s="16"/>
      <c r="D15" s="314" t="s">
        <v>88</v>
      </c>
      <c r="E15" s="314" t="e">
        <f>75/(E14-E13)</f>
        <v>#DIV/0!</v>
      </c>
      <c r="F15" s="304"/>
      <c r="G15" s="17"/>
      <c r="H15" s="56"/>
      <c r="I15" s="165"/>
      <c r="J15" s="137"/>
      <c r="K15" s="137"/>
    </row>
    <row r="16" spans="1:16">
      <c r="A16" s="133"/>
      <c r="B16" s="201"/>
      <c r="C16" s="196"/>
      <c r="D16" s="314" t="s">
        <v>89</v>
      </c>
      <c r="E16" s="314" t="e">
        <f>E15*E14</f>
        <v>#DIV/0!</v>
      </c>
      <c r="F16" s="17"/>
      <c r="G16" s="17"/>
      <c r="H16" s="56"/>
      <c r="I16" s="4"/>
      <c r="J16" s="1"/>
      <c r="K16" s="1"/>
      <c r="L16" s="1"/>
    </row>
    <row r="17" spans="1:12">
      <c r="A17" s="133"/>
      <c r="B17" s="202"/>
      <c r="C17" s="77"/>
      <c r="D17" s="16"/>
      <c r="E17" s="164"/>
      <c r="F17" s="17"/>
      <c r="G17" s="17"/>
      <c r="H17" s="56"/>
      <c r="I17" s="4"/>
      <c r="J17" s="70"/>
      <c r="K17" s="71"/>
      <c r="L17" s="1"/>
    </row>
    <row r="18" spans="1:12">
      <c r="A18" s="55"/>
      <c r="B18" s="72"/>
      <c r="C18" s="72"/>
      <c r="D18" s="72"/>
      <c r="E18" s="72"/>
      <c r="F18" s="55"/>
      <c r="G18" s="55"/>
      <c r="H18" s="55"/>
      <c r="I18" s="4"/>
      <c r="J18" s="70"/>
      <c r="K18" s="73"/>
      <c r="L18" s="1"/>
    </row>
    <row r="19" spans="1:12">
      <c r="A19" s="181" t="s">
        <v>85</v>
      </c>
      <c r="B19" s="17">
        <f>MIN(B6:B12)</f>
        <v>61</v>
      </c>
      <c r="C19" s="76"/>
      <c r="D19" s="76"/>
      <c r="E19" s="76"/>
      <c r="F19" s="76"/>
      <c r="G19" s="76"/>
      <c r="H19" s="77"/>
      <c r="I19" s="4"/>
      <c r="J19" s="1"/>
      <c r="K19" s="1"/>
      <c r="L19" s="1"/>
    </row>
    <row r="20" spans="1:12">
      <c r="C20" s="76"/>
      <c r="D20" s="76"/>
      <c r="E20" s="76"/>
      <c r="F20" s="76"/>
      <c r="G20" s="76"/>
      <c r="H20" s="77"/>
      <c r="I20" s="4"/>
      <c r="J20" s="1"/>
      <c r="K20" s="1"/>
      <c r="L20" s="1"/>
    </row>
    <row r="21" spans="1:12">
      <c r="A21" s="159"/>
      <c r="B21" s="182"/>
      <c r="C21" s="76"/>
      <c r="D21" s="76"/>
      <c r="E21" s="76"/>
      <c r="F21" s="76"/>
      <c r="G21" s="76"/>
      <c r="H21" s="77"/>
      <c r="I21" s="4"/>
      <c r="J21" s="1"/>
      <c r="K21" s="1"/>
      <c r="L21" s="1"/>
    </row>
    <row r="22" spans="1:12">
      <c r="A22" s="74"/>
      <c r="B22" s="306" t="s">
        <v>90</v>
      </c>
      <c r="C22" s="76"/>
      <c r="D22" s="76"/>
      <c r="E22" s="76"/>
      <c r="F22" s="76"/>
      <c r="G22" s="76"/>
      <c r="H22" s="77"/>
      <c r="I22" s="4"/>
      <c r="J22" s="1"/>
      <c r="K22" s="1"/>
      <c r="L22" s="1"/>
    </row>
    <row r="23" spans="1:12">
      <c r="A23" s="74"/>
      <c r="B23" s="75"/>
      <c r="C23" s="76"/>
      <c r="D23" s="76"/>
      <c r="E23" s="76"/>
      <c r="F23" s="76"/>
      <c r="G23" s="76"/>
      <c r="H23" s="77"/>
      <c r="I23" s="4"/>
      <c r="J23" s="1"/>
      <c r="K23" s="1"/>
      <c r="L23" s="1"/>
    </row>
    <row r="24" spans="1:12">
      <c r="A24" s="332"/>
      <c r="B24" s="322"/>
      <c r="C24" s="323"/>
      <c r="D24" s="323"/>
      <c r="E24" s="318"/>
      <c r="F24" s="328"/>
      <c r="G24" s="76"/>
      <c r="H24" s="77"/>
      <c r="I24" s="4"/>
      <c r="J24" s="1"/>
      <c r="K24" s="1"/>
      <c r="L24" s="1"/>
    </row>
    <row r="25" spans="1:12">
      <c r="A25" s="332"/>
      <c r="B25" s="337" t="s">
        <v>83</v>
      </c>
      <c r="C25" s="323"/>
      <c r="D25" s="323"/>
      <c r="E25" s="318"/>
      <c r="F25" s="328"/>
      <c r="G25" s="76"/>
      <c r="H25" s="77"/>
      <c r="I25" s="4"/>
      <c r="J25" s="1"/>
      <c r="K25" s="1"/>
      <c r="L25" s="1"/>
    </row>
    <row r="26" spans="1:12">
      <c r="A26" s="321"/>
      <c r="B26" s="336" t="s">
        <v>67</v>
      </c>
      <c r="C26" s="334" t="s">
        <v>29</v>
      </c>
      <c r="D26" s="323"/>
      <c r="E26" s="323"/>
      <c r="F26" s="328"/>
      <c r="G26" s="76"/>
      <c r="H26" s="77"/>
      <c r="I26" s="4"/>
      <c r="J26" s="1"/>
      <c r="K26" s="1"/>
      <c r="L26" s="1"/>
    </row>
    <row r="27" spans="1:12">
      <c r="A27" s="335" t="s">
        <v>84</v>
      </c>
      <c r="B27" s="333">
        <v>60</v>
      </c>
      <c r="C27" s="327">
        <f>(10^((60-B27)/10)*75)</f>
        <v>75</v>
      </c>
      <c r="D27" s="338" t="s">
        <v>91</v>
      </c>
      <c r="E27" s="323"/>
      <c r="F27" s="328"/>
      <c r="G27" s="76"/>
      <c r="H27" s="77"/>
      <c r="I27" s="4"/>
      <c r="J27" s="1"/>
      <c r="K27" s="1"/>
      <c r="L27" s="1"/>
    </row>
    <row r="28" spans="1:12">
      <c r="A28" s="321"/>
      <c r="B28" s="333">
        <f>B27+0.5</f>
        <v>60.5</v>
      </c>
      <c r="C28" s="327">
        <f t="shared" ref="C28:C43" si="1">(10^((60-B28)/10)*75)</f>
        <v>66.843820360030904</v>
      </c>
      <c r="D28" s="323"/>
      <c r="E28" s="323"/>
      <c r="F28" s="328"/>
      <c r="G28" s="76"/>
      <c r="H28" s="77"/>
      <c r="I28" s="4"/>
      <c r="J28" s="1"/>
      <c r="K28" s="1"/>
      <c r="L28" s="1"/>
    </row>
    <row r="29" spans="1:12">
      <c r="A29" s="321"/>
      <c r="B29" s="333">
        <f t="shared" ref="B29:B43" si="2">B28+0.5</f>
        <v>61</v>
      </c>
      <c r="C29" s="327">
        <f t="shared" si="1"/>
        <v>59.574617604321112</v>
      </c>
      <c r="D29" s="323"/>
      <c r="E29" s="323"/>
      <c r="F29" s="328"/>
      <c r="G29" s="76"/>
      <c r="H29" s="77"/>
      <c r="I29" s="4"/>
      <c r="J29" s="1"/>
      <c r="K29" s="1"/>
      <c r="L29" s="1"/>
    </row>
    <row r="30" spans="1:12">
      <c r="A30" s="321"/>
      <c r="B30" s="333">
        <f t="shared" si="2"/>
        <v>61.5</v>
      </c>
      <c r="C30" s="327">
        <f t="shared" si="1"/>
        <v>53.095933828810345</v>
      </c>
      <c r="D30" s="323"/>
      <c r="E30" s="323"/>
      <c r="F30" s="328"/>
      <c r="G30" s="76"/>
      <c r="H30" s="77"/>
      <c r="I30" s="4"/>
      <c r="J30" s="1"/>
      <c r="K30" s="1"/>
      <c r="L30" s="1"/>
    </row>
    <row r="31" spans="1:12">
      <c r="A31" s="321"/>
      <c r="B31" s="333">
        <f t="shared" si="2"/>
        <v>62</v>
      </c>
      <c r="C31" s="327">
        <f t="shared" si="1"/>
        <v>47.321800836014496</v>
      </c>
      <c r="D31" s="323"/>
      <c r="E31" s="323"/>
      <c r="F31" s="328"/>
      <c r="G31" s="76"/>
      <c r="H31" s="77"/>
      <c r="I31" s="4"/>
      <c r="J31" s="1"/>
      <c r="K31" s="1"/>
      <c r="L31" s="1"/>
    </row>
    <row r="32" spans="1:12">
      <c r="A32" s="321"/>
      <c r="B32" s="333">
        <f t="shared" si="2"/>
        <v>62.5</v>
      </c>
      <c r="C32" s="327">
        <f t="shared" si="1"/>
        <v>42.175599389276179</v>
      </c>
      <c r="D32" s="323"/>
      <c r="E32" s="323"/>
      <c r="F32" s="328"/>
      <c r="G32" s="76"/>
      <c r="H32" s="77"/>
      <c r="I32" s="4"/>
      <c r="J32" s="1"/>
      <c r="K32" s="1"/>
      <c r="L32" s="1"/>
    </row>
    <row r="33" spans="1:12">
      <c r="A33" s="321"/>
      <c r="B33" s="333">
        <f t="shared" si="2"/>
        <v>63</v>
      </c>
      <c r="C33" s="327">
        <f t="shared" si="1"/>
        <v>37.589042522045418</v>
      </c>
      <c r="D33" s="325"/>
      <c r="E33" s="323"/>
      <c r="F33" s="331"/>
      <c r="G33" s="203"/>
      <c r="H33" s="77"/>
      <c r="I33" s="4"/>
      <c r="J33" s="1"/>
      <c r="K33" s="1"/>
      <c r="L33" s="1"/>
    </row>
    <row r="34" spans="1:12">
      <c r="A34" s="321"/>
      <c r="B34" s="333">
        <f t="shared" si="2"/>
        <v>63.5</v>
      </c>
      <c r="C34" s="327">
        <f t="shared" si="1"/>
        <v>33.501269411322234</v>
      </c>
      <c r="D34" s="323"/>
      <c r="E34" s="323"/>
      <c r="F34" s="328"/>
      <c r="G34" s="76"/>
      <c r="H34" s="77"/>
      <c r="I34" s="4"/>
      <c r="J34" s="1"/>
      <c r="K34" s="1"/>
      <c r="L34" s="1"/>
    </row>
    <row r="35" spans="1:12">
      <c r="A35" s="319"/>
      <c r="B35" s="333">
        <f t="shared" si="2"/>
        <v>64</v>
      </c>
      <c r="C35" s="327">
        <f t="shared" si="1"/>
        <v>29.858037791512292</v>
      </c>
      <c r="D35" s="319"/>
      <c r="E35" s="319"/>
      <c r="F35" s="329"/>
      <c r="G35" s="1"/>
      <c r="H35" s="1"/>
      <c r="I35" s="4"/>
      <c r="J35" s="1"/>
      <c r="K35" s="1"/>
      <c r="L35" s="1"/>
    </row>
    <row r="36" spans="1:12">
      <c r="A36" s="319"/>
      <c r="B36" s="333">
        <f t="shared" si="2"/>
        <v>64.5</v>
      </c>
      <c r="C36" s="327">
        <f t="shared" si="1"/>
        <v>26.611004192518156</v>
      </c>
      <c r="D36" s="320"/>
      <c r="E36" s="320"/>
      <c r="F36" s="330"/>
      <c r="G36" s="4"/>
      <c r="H36" s="4"/>
      <c r="I36" s="4"/>
      <c r="J36" s="1"/>
      <c r="K36" s="1"/>
      <c r="L36" s="1"/>
    </row>
    <row r="37" spans="1:12">
      <c r="A37" s="318"/>
      <c r="B37" s="333">
        <f t="shared" si="2"/>
        <v>65</v>
      </c>
      <c r="C37" s="327">
        <f t="shared" si="1"/>
        <v>23.717082451262847</v>
      </c>
      <c r="D37" s="320"/>
      <c r="E37" s="320"/>
      <c r="F37" s="330"/>
      <c r="G37" s="4"/>
      <c r="H37" s="4"/>
      <c r="I37" s="4"/>
    </row>
    <row r="38" spans="1:12">
      <c r="A38" s="318"/>
      <c r="B38" s="333">
        <f t="shared" si="2"/>
        <v>65.5</v>
      </c>
      <c r="C38" s="327">
        <f t="shared" si="1"/>
        <v>21.1378719844834</v>
      </c>
      <c r="D38" s="320"/>
      <c r="E38" s="320"/>
      <c r="F38" s="330"/>
      <c r="G38" s="4"/>
      <c r="H38" s="4"/>
      <c r="I38" s="4"/>
    </row>
    <row r="39" spans="1:12">
      <c r="A39" s="318"/>
      <c r="B39" s="333">
        <f t="shared" si="2"/>
        <v>66</v>
      </c>
      <c r="C39" s="327">
        <f t="shared" si="1"/>
        <v>18.839148236321851</v>
      </c>
      <c r="D39" s="320"/>
      <c r="E39" s="320"/>
      <c r="F39" s="330"/>
      <c r="G39" s="4"/>
      <c r="H39" s="4"/>
      <c r="I39" s="4"/>
    </row>
    <row r="40" spans="1:12">
      <c r="A40" s="318"/>
      <c r="B40" s="333">
        <f t="shared" si="2"/>
        <v>66.5</v>
      </c>
      <c r="C40" s="327">
        <f t="shared" si="1"/>
        <v>16.790408539262543</v>
      </c>
      <c r="D40" s="320"/>
      <c r="E40" s="320"/>
      <c r="F40" s="330"/>
      <c r="G40" s="4"/>
      <c r="H40" s="4"/>
      <c r="I40" s="4"/>
    </row>
    <row r="41" spans="1:12">
      <c r="A41" s="318"/>
      <c r="B41" s="333">
        <f t="shared" si="2"/>
        <v>67</v>
      </c>
      <c r="C41" s="327">
        <f t="shared" si="1"/>
        <v>14.964467362266596</v>
      </c>
      <c r="D41" s="320"/>
      <c r="E41" s="320"/>
      <c r="F41" s="330"/>
      <c r="G41" s="4"/>
      <c r="H41" s="4"/>
      <c r="I41" s="4"/>
    </row>
    <row r="42" spans="1:12">
      <c r="A42" s="318"/>
      <c r="B42" s="333">
        <f t="shared" si="2"/>
        <v>67.5</v>
      </c>
      <c r="C42" s="327">
        <f t="shared" si="1"/>
        <v>13.337095575291917</v>
      </c>
      <c r="D42" s="320"/>
      <c r="E42" s="320"/>
      <c r="F42" s="330"/>
      <c r="G42" s="4"/>
      <c r="H42" s="4"/>
      <c r="I42" s="4"/>
    </row>
    <row r="43" spans="1:12">
      <c r="A43" s="324"/>
      <c r="B43" s="333">
        <f t="shared" si="2"/>
        <v>68</v>
      </c>
      <c r="C43" s="327">
        <f t="shared" si="1"/>
        <v>11.886698943458349</v>
      </c>
      <c r="D43" s="326"/>
      <c r="E43" s="320"/>
      <c r="F43" s="330"/>
      <c r="G43" s="4"/>
      <c r="H43" s="4"/>
      <c r="I43" s="4"/>
    </row>
    <row r="44" spans="1:12">
      <c r="B44" s="308"/>
      <c r="C44" s="311"/>
      <c r="D44" s="312"/>
      <c r="E44" s="4"/>
      <c r="F44" s="4"/>
      <c r="G44" s="4"/>
      <c r="H44" s="4"/>
      <c r="I44" s="4"/>
    </row>
    <row r="45" spans="1:12">
      <c r="B45" s="308"/>
      <c r="C45" s="311"/>
      <c r="D45" s="312"/>
      <c r="E45" s="4"/>
      <c r="F45" s="4"/>
      <c r="G45" s="4"/>
      <c r="H45" s="4"/>
      <c r="I45" s="4"/>
    </row>
    <row r="46" spans="1:12">
      <c r="B46" s="308"/>
      <c r="C46" s="309"/>
      <c r="D46" s="310"/>
      <c r="E46" s="4"/>
      <c r="F46" s="4"/>
      <c r="G46" s="4"/>
      <c r="H46" s="4"/>
      <c r="I46" s="4"/>
    </row>
    <row r="47" spans="1:12">
      <c r="B47" s="4"/>
      <c r="C47" s="4"/>
      <c r="D47" s="4"/>
      <c r="E47" s="4"/>
      <c r="F47" s="4"/>
      <c r="G47" s="4"/>
      <c r="H47" s="4"/>
      <c r="I47" s="4"/>
    </row>
    <row r="48" spans="1:12">
      <c r="B48" s="4"/>
      <c r="C48" s="4"/>
      <c r="D48" s="4"/>
      <c r="E48" s="4"/>
      <c r="F48" s="4"/>
      <c r="G48" s="4"/>
      <c r="H48" s="4"/>
      <c r="I48" s="4"/>
    </row>
    <row r="49" spans="2:9">
      <c r="B49" s="4"/>
      <c r="C49" s="4"/>
      <c r="D49" s="4"/>
      <c r="E49" s="4"/>
      <c r="F49" s="4"/>
      <c r="G49" s="4"/>
      <c r="H49" s="4"/>
      <c r="I49" s="4"/>
    </row>
    <row r="50" spans="2:9">
      <c r="B50" s="4"/>
      <c r="C50" s="4"/>
      <c r="D50" s="4"/>
      <c r="E50" s="4"/>
      <c r="F50" s="4"/>
      <c r="G50" s="4"/>
      <c r="H50" s="4"/>
      <c r="I50" s="4"/>
    </row>
    <row r="51" spans="2:9">
      <c r="B51" s="4"/>
      <c r="C51" s="4"/>
      <c r="D51" s="4"/>
      <c r="E51" s="4"/>
      <c r="F51" s="4"/>
      <c r="G51" s="4"/>
      <c r="H51" s="4"/>
      <c r="I51" s="4"/>
    </row>
  </sheetData>
  <phoneticPr fontId="20" type="noConversion"/>
  <printOptions gridLines="1"/>
  <pageMargins left="0.75" right="0.75" top="0.5" bottom="0.5" header="0.5" footer="0.5"/>
  <pageSetup scale="82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8"/>
  <sheetViews>
    <sheetView workbookViewId="0">
      <selection activeCell="F7" sqref="F7"/>
    </sheetView>
  </sheetViews>
  <sheetFormatPr defaultRowHeight="13.2"/>
  <cols>
    <col min="1" max="1" width="40.88671875" customWidth="1"/>
    <col min="2" max="2" width="11.33203125" customWidth="1"/>
    <col min="3" max="3" width="12.5546875" customWidth="1"/>
    <col min="4" max="4" width="8.5546875" customWidth="1"/>
    <col min="5" max="5" width="12.44140625" customWidth="1"/>
    <col min="6" max="6" width="14.88671875" customWidth="1"/>
    <col min="7" max="8" width="12.44140625" customWidth="1"/>
    <col min="9" max="10" width="9.33203125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0" customWidth="1"/>
    <col min="25" max="25" width="10" style="40" customWidth="1"/>
    <col min="26" max="27" width="8.6640625" style="40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7.399999999999999">
      <c r="A1" s="235" t="s">
        <v>124</v>
      </c>
    </row>
    <row r="2" spans="1:37" ht="17.399999999999999">
      <c r="A2" s="119"/>
      <c r="B2" s="22"/>
      <c r="C2" s="22"/>
      <c r="D2" s="22"/>
      <c r="E2" s="22"/>
      <c r="F2" s="210"/>
      <c r="G2" s="209"/>
      <c r="H2" s="210"/>
      <c r="I2" s="209"/>
      <c r="J2" s="209"/>
      <c r="K2" s="209"/>
      <c r="L2" s="22"/>
      <c r="M2" s="22"/>
      <c r="N2" s="27"/>
      <c r="O2" s="27"/>
      <c r="P2" s="27"/>
      <c r="Q2" s="27"/>
      <c r="R2" s="120"/>
      <c r="S2" s="83"/>
      <c r="T2" s="84"/>
      <c r="U2" s="84"/>
      <c r="V2" s="84"/>
      <c r="W2" s="84"/>
      <c r="X2" s="84"/>
      <c r="Y2" s="84"/>
      <c r="Z2" s="84"/>
      <c r="AA2" s="84"/>
      <c r="AB2" s="85"/>
      <c r="AC2" s="86"/>
      <c r="AD2" s="87"/>
      <c r="AE2" s="62"/>
      <c r="AF2" s="1"/>
      <c r="AG2" s="1"/>
      <c r="AH2" s="1"/>
    </row>
    <row r="3" spans="1:37">
      <c r="A3" s="78"/>
      <c r="B3" s="25"/>
      <c r="C3" s="25"/>
      <c r="D3" s="25"/>
      <c r="E3" s="25"/>
      <c r="F3" s="189"/>
      <c r="G3" s="25"/>
      <c r="H3" s="189"/>
      <c r="I3" s="25"/>
      <c r="J3" s="25"/>
      <c r="K3" s="25"/>
      <c r="L3" s="25"/>
      <c r="M3" s="25"/>
      <c r="N3" s="121"/>
      <c r="O3" s="52"/>
      <c r="P3" s="52"/>
      <c r="Q3" s="52"/>
      <c r="R3" s="122"/>
      <c r="S3" s="90"/>
      <c r="T3" s="90"/>
      <c r="U3" s="84"/>
      <c r="V3" s="84"/>
      <c r="W3" s="84"/>
      <c r="X3" s="84"/>
      <c r="Y3" s="84"/>
      <c r="Z3" s="84"/>
      <c r="AA3" s="84"/>
      <c r="AB3" s="85"/>
      <c r="AC3" s="86"/>
      <c r="AD3" s="87"/>
      <c r="AE3" s="62"/>
      <c r="AF3" s="1"/>
      <c r="AG3" s="1"/>
      <c r="AH3" s="1"/>
    </row>
    <row r="4" spans="1:37">
      <c r="A4" s="15"/>
      <c r="B4" s="15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15"/>
      <c r="M4" s="24"/>
      <c r="N4" s="27"/>
      <c r="O4" s="24"/>
      <c r="P4" s="24"/>
      <c r="Q4" s="24"/>
      <c r="R4" s="123"/>
      <c r="S4" s="92"/>
      <c r="T4" s="90"/>
      <c r="U4" s="84"/>
      <c r="V4" s="84"/>
      <c r="W4" s="84"/>
      <c r="X4" s="84"/>
      <c r="Y4" s="84"/>
      <c r="Z4" s="84"/>
      <c r="AA4" s="84"/>
      <c r="AB4" s="85"/>
      <c r="AC4" s="86"/>
      <c r="AD4" s="87"/>
      <c r="AE4" s="62"/>
      <c r="AF4" s="1"/>
      <c r="AG4" s="1"/>
      <c r="AH4" s="1"/>
    </row>
    <row r="5" spans="1:37">
      <c r="A5" s="15"/>
      <c r="B5" s="15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7"/>
      <c r="O5" s="24"/>
      <c r="P5" s="24"/>
      <c r="Q5" s="24"/>
      <c r="R5" s="123"/>
      <c r="S5" s="92"/>
      <c r="T5" s="90"/>
      <c r="U5" s="84"/>
      <c r="V5" s="84"/>
      <c r="W5" s="84"/>
      <c r="X5" s="84"/>
      <c r="Y5" s="84"/>
      <c r="Z5" s="84"/>
      <c r="AA5" s="84"/>
      <c r="AB5" s="85"/>
      <c r="AC5" s="86"/>
      <c r="AD5" s="87"/>
      <c r="AE5" s="62"/>
      <c r="AF5" s="1"/>
      <c r="AG5" s="1"/>
      <c r="AH5" s="1"/>
    </row>
    <row r="6" spans="1:37" ht="26.4">
      <c r="B6" s="38"/>
      <c r="C6" s="38" t="s">
        <v>52</v>
      </c>
      <c r="D6" s="38" t="s">
        <v>12</v>
      </c>
      <c r="E6" s="38" t="s">
        <v>17</v>
      </c>
      <c r="F6" s="24"/>
      <c r="G6" s="24"/>
      <c r="H6" s="24"/>
      <c r="I6" s="38"/>
      <c r="J6" s="38"/>
      <c r="K6" s="38"/>
      <c r="L6" s="38"/>
      <c r="M6" s="24"/>
      <c r="N6" s="43"/>
      <c r="O6" s="20"/>
      <c r="P6" s="27"/>
      <c r="Q6" s="27"/>
      <c r="R6" s="120"/>
      <c r="S6" s="83"/>
      <c r="T6" s="83"/>
      <c r="U6" s="83"/>
      <c r="V6" s="83"/>
      <c r="W6" s="83"/>
      <c r="X6" s="83"/>
      <c r="Y6" s="83"/>
      <c r="Z6" s="83"/>
      <c r="AA6" s="83"/>
      <c r="AB6" s="82"/>
      <c r="AC6" s="93"/>
      <c r="AD6" s="94"/>
    </row>
    <row r="7" spans="1:37" ht="17.399999999999999">
      <c r="A7" s="395" t="s">
        <v>111</v>
      </c>
      <c r="B7" s="232"/>
      <c r="C7" s="398">
        <v>10000</v>
      </c>
      <c r="D7" s="253" t="e">
        <f t="shared" ref="D7:D13" si="0">IF(C7="DNF", 0,($B$19*C7+$B$20))</f>
        <v>#DIV/0!</v>
      </c>
      <c r="E7" s="344" t="e">
        <f t="shared" ref="E7:E13" si="1">RANK(D7,$D$7:$D$13)</f>
        <v>#DIV/0!</v>
      </c>
      <c r="F7" s="435" t="s">
        <v>147</v>
      </c>
      <c r="G7" s="206"/>
      <c r="H7" s="207"/>
      <c r="I7" s="125"/>
      <c r="J7" s="125"/>
      <c r="K7" s="124"/>
      <c r="L7" s="130"/>
      <c r="M7" s="130"/>
      <c r="N7" s="130"/>
      <c r="O7" s="130"/>
      <c r="P7" s="27"/>
      <c r="Q7" s="27"/>
      <c r="R7" s="120"/>
      <c r="S7" s="83"/>
      <c r="T7" s="83"/>
      <c r="U7" s="83"/>
      <c r="V7" s="83"/>
      <c r="W7" s="83"/>
      <c r="X7" s="83"/>
      <c r="Y7" s="83"/>
      <c r="Z7" s="83"/>
      <c r="AA7" s="83"/>
      <c r="AB7" s="82"/>
      <c r="AC7" s="93"/>
      <c r="AD7" s="94"/>
      <c r="AJ7" s="30"/>
      <c r="AK7" s="30"/>
    </row>
    <row r="8" spans="1:37" ht="33.6">
      <c r="A8" s="400" t="s">
        <v>132</v>
      </c>
      <c r="B8" s="232"/>
      <c r="C8" s="398">
        <v>10000</v>
      </c>
      <c r="D8" s="253" t="e">
        <f t="shared" si="0"/>
        <v>#DIV/0!</v>
      </c>
      <c r="E8" s="344" t="e">
        <f t="shared" si="1"/>
        <v>#DIV/0!</v>
      </c>
      <c r="F8" s="206"/>
      <c r="G8" s="206"/>
      <c r="H8" s="207"/>
      <c r="I8" s="125"/>
      <c r="J8" s="125"/>
      <c r="K8" s="124"/>
      <c r="L8" s="130"/>
      <c r="M8" s="130"/>
      <c r="N8" s="130"/>
      <c r="O8" s="130"/>
      <c r="P8" s="27"/>
      <c r="Q8" s="27"/>
      <c r="R8" s="126"/>
      <c r="S8" s="83"/>
      <c r="T8" s="83"/>
      <c r="U8" s="83"/>
      <c r="V8" s="83"/>
      <c r="W8" s="83"/>
      <c r="X8" s="83"/>
      <c r="Y8" s="83"/>
      <c r="Z8" s="83"/>
      <c r="AA8" s="83"/>
      <c r="AB8" s="82"/>
      <c r="AC8" s="93"/>
      <c r="AD8" s="94"/>
      <c r="AJ8" s="30"/>
      <c r="AK8" s="30"/>
    </row>
    <row r="9" spans="1:37" ht="33.6">
      <c r="A9" s="400" t="s">
        <v>133</v>
      </c>
      <c r="B9" s="232"/>
      <c r="C9" s="398">
        <v>10000</v>
      </c>
      <c r="D9" s="253" t="e">
        <f t="shared" si="0"/>
        <v>#DIV/0!</v>
      </c>
      <c r="E9" s="344" t="e">
        <f t="shared" si="1"/>
        <v>#DIV/0!</v>
      </c>
      <c r="F9" s="206"/>
      <c r="G9" s="206"/>
      <c r="H9" s="207"/>
      <c r="I9" s="125"/>
      <c r="J9" s="125"/>
      <c r="K9" s="124"/>
      <c r="L9" s="130"/>
      <c r="M9" s="130"/>
      <c r="N9" s="130"/>
      <c r="O9" s="130"/>
      <c r="P9" s="27"/>
      <c r="Q9" s="27"/>
      <c r="R9" s="120"/>
      <c r="S9" s="83"/>
      <c r="T9" s="83"/>
      <c r="U9" s="83"/>
      <c r="V9" s="83"/>
      <c r="W9" s="83"/>
      <c r="X9" s="83"/>
      <c r="Y9" s="83"/>
      <c r="Z9" s="83"/>
      <c r="AA9" s="83"/>
      <c r="AB9" s="82"/>
      <c r="AC9" s="93"/>
      <c r="AD9" s="94"/>
      <c r="AJ9" s="30"/>
      <c r="AK9" s="30"/>
    </row>
    <row r="10" spans="1:37" ht="33.6">
      <c r="A10" s="395" t="s">
        <v>113</v>
      </c>
      <c r="B10" s="232"/>
      <c r="C10" s="398">
        <v>10000</v>
      </c>
      <c r="D10" s="253" t="e">
        <f t="shared" si="0"/>
        <v>#DIV/0!</v>
      </c>
      <c r="E10" s="344" t="e">
        <f t="shared" si="1"/>
        <v>#DIV/0!</v>
      </c>
      <c r="F10" s="206"/>
      <c r="G10" s="206"/>
      <c r="H10" s="207"/>
      <c r="I10" s="125"/>
      <c r="J10" s="125"/>
      <c r="K10" s="124"/>
      <c r="L10" s="130" t="s">
        <v>25</v>
      </c>
      <c r="M10" s="130"/>
      <c r="N10" s="130"/>
      <c r="O10" s="130"/>
      <c r="P10" s="27"/>
      <c r="Q10" s="27"/>
      <c r="R10" s="120"/>
      <c r="S10" s="83"/>
      <c r="T10" s="83"/>
      <c r="U10" s="83"/>
      <c r="V10" s="83"/>
      <c r="W10" s="83"/>
      <c r="X10" s="83"/>
      <c r="Y10" s="83"/>
      <c r="Z10" s="83"/>
      <c r="AA10" s="83"/>
      <c r="AB10" s="82"/>
      <c r="AC10" s="93"/>
      <c r="AD10" s="94"/>
      <c r="AJ10" s="30"/>
      <c r="AK10" s="30"/>
    </row>
    <row r="11" spans="1:37" ht="17.399999999999999">
      <c r="A11" s="400" t="s">
        <v>131</v>
      </c>
      <c r="B11" s="237"/>
      <c r="C11" s="398">
        <v>10000</v>
      </c>
      <c r="D11" s="253" t="e">
        <f t="shared" si="0"/>
        <v>#DIV/0!</v>
      </c>
      <c r="E11" s="344" t="e">
        <f t="shared" si="1"/>
        <v>#DIV/0!</v>
      </c>
      <c r="F11" s="206"/>
      <c r="G11" s="206"/>
      <c r="H11" s="207"/>
      <c r="I11" s="125"/>
      <c r="J11" s="125"/>
      <c r="K11" s="124"/>
      <c r="L11" s="130"/>
      <c r="M11" s="130"/>
      <c r="N11" s="130"/>
      <c r="O11" s="130"/>
      <c r="P11" s="27"/>
      <c r="Q11" s="27"/>
      <c r="R11" s="126"/>
      <c r="S11" s="96"/>
      <c r="T11" s="96"/>
      <c r="U11" s="96"/>
      <c r="V11" s="83"/>
      <c r="W11" s="83"/>
      <c r="X11" s="83"/>
      <c r="Y11" s="83"/>
      <c r="Z11" s="83"/>
      <c r="AA11" s="83"/>
      <c r="AB11" s="82"/>
      <c r="AC11" s="93"/>
      <c r="AD11" s="94"/>
      <c r="AJ11" s="30"/>
      <c r="AK11" s="30"/>
    </row>
    <row r="12" spans="1:37" ht="17.399999999999999">
      <c r="A12" s="395" t="s">
        <v>114</v>
      </c>
      <c r="C12" s="398">
        <v>10000</v>
      </c>
      <c r="D12" s="253" t="e">
        <f t="shared" si="0"/>
        <v>#DIV/0!</v>
      </c>
      <c r="E12" s="344" t="e">
        <f t="shared" si="1"/>
        <v>#DIV/0!</v>
      </c>
    </row>
    <row r="13" spans="1:37" ht="17.399999999999999">
      <c r="A13" s="395" t="s">
        <v>115</v>
      </c>
      <c r="B13" s="205"/>
      <c r="C13" s="398">
        <v>10000</v>
      </c>
      <c r="D13" s="253" t="e">
        <f t="shared" si="0"/>
        <v>#DIV/0!</v>
      </c>
      <c r="E13" s="344" t="e">
        <f t="shared" si="1"/>
        <v>#DIV/0!</v>
      </c>
      <c r="F13" s="206"/>
      <c r="G13" s="206"/>
      <c r="H13" s="207"/>
      <c r="I13" s="125"/>
      <c r="J13" s="125"/>
      <c r="K13" s="124"/>
      <c r="L13" s="130" t="s">
        <v>25</v>
      </c>
      <c r="M13" s="130"/>
      <c r="N13" s="130"/>
      <c r="O13" s="130"/>
      <c r="P13" s="27"/>
      <c r="Q13" s="27"/>
      <c r="R13" s="120"/>
      <c r="S13" s="83"/>
      <c r="T13" s="83"/>
      <c r="U13" s="83"/>
      <c r="V13" s="83"/>
      <c r="W13" s="83"/>
      <c r="X13" s="83"/>
      <c r="Y13" s="83"/>
      <c r="Z13" s="83"/>
      <c r="AA13" s="83"/>
      <c r="AB13" s="82"/>
      <c r="AC13" s="93"/>
      <c r="AD13" s="94"/>
      <c r="AJ13" s="30"/>
      <c r="AK13" s="30"/>
    </row>
    <row r="14" spans="1:37">
      <c r="E14" s="206"/>
      <c r="F14" s="206"/>
      <c r="G14" s="206"/>
      <c r="H14" s="207"/>
      <c r="I14" s="125"/>
      <c r="J14" s="125"/>
      <c r="K14" s="124"/>
      <c r="L14" s="130"/>
      <c r="M14" s="130"/>
      <c r="N14" s="130"/>
      <c r="O14" s="130"/>
      <c r="P14" s="27"/>
      <c r="Q14" s="27"/>
      <c r="R14" s="120"/>
      <c r="S14" s="83"/>
      <c r="T14" s="83"/>
      <c r="U14" s="83"/>
      <c r="V14" s="83"/>
      <c r="W14" s="83"/>
      <c r="X14" s="83"/>
      <c r="Y14" s="83"/>
      <c r="Z14" s="83"/>
      <c r="AA14" s="83"/>
      <c r="AB14" s="82"/>
      <c r="AC14" s="93"/>
      <c r="AD14" s="94"/>
      <c r="AJ14" s="30"/>
      <c r="AK14" s="30"/>
    </row>
    <row r="15" spans="1:37" s="143" customFormat="1" ht="17.399999999999999">
      <c r="A15"/>
      <c r="B15" s="178"/>
      <c r="C15"/>
      <c r="D15"/>
      <c r="E15" s="304"/>
      <c r="F15" s="206"/>
      <c r="G15" s="206"/>
      <c r="H15" s="207"/>
      <c r="I15" s="125"/>
      <c r="J15" s="125"/>
      <c r="K15" s="124"/>
      <c r="L15" s="130"/>
      <c r="M15" s="153"/>
      <c r="N15" s="153"/>
      <c r="O15" s="153"/>
      <c r="P15" s="152"/>
      <c r="Q15" s="152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38"/>
      <c r="AC15" s="146"/>
      <c r="AD15" s="145"/>
      <c r="AE15" s="142"/>
      <c r="AJ15" s="155"/>
      <c r="AK15" s="155"/>
    </row>
    <row r="16" spans="1:37">
      <c r="A16" s="317" t="s">
        <v>92</v>
      </c>
      <c r="B16" s="206"/>
      <c r="C16" s="205"/>
      <c r="D16" s="205"/>
      <c r="E16" s="206"/>
      <c r="F16" s="206"/>
      <c r="G16" s="206"/>
      <c r="H16" s="207"/>
      <c r="I16" s="125"/>
      <c r="J16" s="125"/>
      <c r="K16" s="124"/>
      <c r="L16" s="124"/>
      <c r="M16" s="127"/>
      <c r="N16" s="39"/>
      <c r="O16" s="39"/>
      <c r="P16" s="39"/>
      <c r="Q16" s="39"/>
      <c r="R16" s="128"/>
      <c r="S16" s="98"/>
      <c r="T16" s="98"/>
      <c r="U16" s="99"/>
      <c r="V16" s="99"/>
      <c r="W16" s="99"/>
      <c r="X16" s="99"/>
      <c r="Y16" s="99"/>
      <c r="Z16" s="99"/>
      <c r="AA16" s="99"/>
      <c r="AB16" s="100"/>
      <c r="AC16" s="101"/>
      <c r="AD16" s="102"/>
      <c r="AE16" s="48"/>
      <c r="AF16" s="31"/>
      <c r="AG16" s="31"/>
      <c r="AH16" s="31"/>
      <c r="AI16" s="31"/>
      <c r="AJ16" s="30"/>
      <c r="AK16" s="30"/>
    </row>
    <row r="17" spans="1:37">
      <c r="A17" s="317" t="s">
        <v>73</v>
      </c>
      <c r="B17" s="307"/>
      <c r="C17" s="208"/>
      <c r="D17" s="164"/>
      <c r="E17" s="206"/>
      <c r="F17" s="206"/>
      <c r="G17" s="206"/>
      <c r="H17" s="207"/>
      <c r="I17" s="125"/>
      <c r="J17" s="125"/>
      <c r="K17" s="124"/>
      <c r="L17" s="129"/>
      <c r="M17" s="129"/>
      <c r="N17" s="39"/>
      <c r="O17" s="39"/>
      <c r="P17" s="39"/>
      <c r="Q17" s="39"/>
      <c r="R17" s="128"/>
      <c r="S17" s="98"/>
      <c r="T17" s="98"/>
      <c r="U17" s="99"/>
      <c r="V17" s="99"/>
      <c r="W17" s="99"/>
      <c r="X17" s="99"/>
      <c r="Y17" s="99"/>
      <c r="Z17" s="99"/>
      <c r="AA17" s="99"/>
      <c r="AB17" s="100"/>
      <c r="AC17" s="101"/>
      <c r="AD17" s="102"/>
      <c r="AE17" s="48"/>
      <c r="AF17" s="31"/>
      <c r="AG17" s="31"/>
      <c r="AH17" s="31"/>
      <c r="AI17" s="31"/>
      <c r="AJ17" s="30"/>
      <c r="AK17" s="30"/>
    </row>
    <row r="18" spans="1:37">
      <c r="A18" s="317" t="s">
        <v>93</v>
      </c>
      <c r="B18" s="307"/>
      <c r="C18" s="208"/>
      <c r="D18" s="164"/>
      <c r="E18" s="206"/>
      <c r="F18" s="206"/>
      <c r="G18" s="206"/>
      <c r="H18" s="207"/>
      <c r="I18" s="125"/>
      <c r="J18" s="125"/>
      <c r="K18" s="124"/>
      <c r="L18" s="25"/>
      <c r="M18" s="25"/>
      <c r="N18" s="39"/>
      <c r="O18" s="39"/>
      <c r="P18" s="39"/>
      <c r="Q18" s="39"/>
      <c r="R18" s="128"/>
      <c r="S18" s="98"/>
      <c r="T18" s="98"/>
      <c r="U18" s="98"/>
      <c r="V18" s="98"/>
      <c r="W18" s="98"/>
      <c r="X18" s="98"/>
      <c r="Y18" s="98"/>
      <c r="Z18" s="98"/>
      <c r="AA18" s="98"/>
      <c r="AB18" s="103"/>
      <c r="AC18" s="111"/>
      <c r="AD18" s="112"/>
      <c r="AE18" s="48"/>
      <c r="AF18" s="31"/>
      <c r="AG18" s="31"/>
      <c r="AH18" s="31"/>
      <c r="AI18" s="31"/>
      <c r="AJ18" s="30"/>
      <c r="AK18" s="30"/>
    </row>
    <row r="19" spans="1:37">
      <c r="A19" s="11" t="s">
        <v>75</v>
      </c>
      <c r="B19" s="339" t="e">
        <f>100/(B22-B21)</f>
        <v>#DIV/0!</v>
      </c>
      <c r="C19" s="91"/>
      <c r="D19" s="91"/>
      <c r="E19" s="91"/>
      <c r="F19" s="91"/>
      <c r="G19" s="91"/>
      <c r="H19" s="91"/>
      <c r="I19" s="91"/>
      <c r="J19" s="91"/>
      <c r="K19" s="91"/>
      <c r="L19" s="104"/>
      <c r="M19" s="104"/>
      <c r="N19" s="104"/>
      <c r="O19" s="104"/>
      <c r="P19" s="104"/>
      <c r="Q19" s="85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13"/>
      <c r="AC19" s="111"/>
      <c r="AD19" s="114"/>
      <c r="AE19" s="48"/>
      <c r="AF19" s="31"/>
      <c r="AG19" s="31"/>
      <c r="AH19" s="31"/>
      <c r="AI19" s="31"/>
      <c r="AJ19" s="30"/>
      <c r="AK19" s="30"/>
    </row>
    <row r="20" spans="1:37">
      <c r="A20" s="11" t="s">
        <v>94</v>
      </c>
      <c r="B20" s="316" t="e">
        <f>-B19*B21</f>
        <v>#DIV/0!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105"/>
      <c r="Q20" s="9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06"/>
      <c r="AC20" s="112"/>
      <c r="AD20" s="116"/>
      <c r="AE20" s="48"/>
      <c r="AF20" s="31"/>
      <c r="AG20" s="31"/>
      <c r="AH20" s="31"/>
      <c r="AI20" s="31"/>
      <c r="AJ20" s="30"/>
      <c r="AK20" s="30"/>
    </row>
    <row r="21" spans="1:37">
      <c r="A21" s="11" t="s">
        <v>59</v>
      </c>
      <c r="B21" s="316">
        <f>MIN(C7:C12)</f>
        <v>10000</v>
      </c>
      <c r="C21" s="316" t="s">
        <v>101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105"/>
      <c r="Q21" s="9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06"/>
      <c r="AC21" s="112"/>
      <c r="AD21" s="116"/>
      <c r="AE21" s="48"/>
      <c r="AF21" s="31"/>
      <c r="AG21" s="31"/>
      <c r="AH21" s="31"/>
      <c r="AI21" s="31"/>
      <c r="AJ21" s="30"/>
      <c r="AK21" s="30"/>
    </row>
    <row r="22" spans="1:37">
      <c r="A22" s="11" t="s">
        <v>58</v>
      </c>
      <c r="B22" s="316">
        <f>MAX(C7:C12)</f>
        <v>10000</v>
      </c>
      <c r="C22" s="316" t="s">
        <v>101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105"/>
      <c r="Q22" s="9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06"/>
      <c r="AC22" s="117"/>
      <c r="AD22" s="116"/>
    </row>
    <row r="23" spans="1:37">
      <c r="A23" s="88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105"/>
      <c r="Q23" s="9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06"/>
      <c r="AC23" s="117"/>
      <c r="AD23" s="116"/>
    </row>
    <row r="24" spans="1:37" ht="13.8">
      <c r="A24" s="88"/>
      <c r="B24" s="89"/>
      <c r="C24" s="91" t="s">
        <v>25</v>
      </c>
      <c r="D24" s="89"/>
      <c r="E24" s="89"/>
      <c r="F24" s="188" t="s">
        <v>25</v>
      </c>
      <c r="G24" s="89"/>
      <c r="H24" s="89"/>
      <c r="I24" s="89"/>
      <c r="J24" s="89"/>
      <c r="K24" s="89"/>
      <c r="L24" s="89"/>
      <c r="M24" s="89"/>
      <c r="N24" s="89"/>
      <c r="O24" s="89"/>
      <c r="P24" s="105"/>
      <c r="Q24" s="95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106"/>
      <c r="AC24" s="117"/>
      <c r="AD24" s="116"/>
    </row>
    <row r="25" spans="1:37">
      <c r="A25" s="88"/>
      <c r="B25" s="97"/>
      <c r="C25" s="97"/>
      <c r="D25" s="97"/>
      <c r="E25" s="179" t="s">
        <v>25</v>
      </c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105"/>
      <c r="Q25" s="9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06"/>
      <c r="AC25" s="117"/>
      <c r="AD25" s="116"/>
    </row>
    <row r="26" spans="1:37">
      <c r="A26" s="88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05"/>
      <c r="Q26" s="9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06"/>
      <c r="AC26" s="117"/>
      <c r="AD26" s="116"/>
    </row>
    <row r="27" spans="1:37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105"/>
      <c r="Q27" s="95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106"/>
      <c r="AC27" s="117"/>
      <c r="AD27" s="116"/>
    </row>
    <row r="28" spans="1:37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105"/>
      <c r="Q28" s="95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106"/>
      <c r="AC28" s="117"/>
      <c r="AD28" s="116"/>
    </row>
    <row r="29" spans="1:37">
      <c r="A29" s="88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105"/>
      <c r="Q29" s="9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06"/>
      <c r="AC29" s="117"/>
      <c r="AD29" s="116"/>
    </row>
    <row r="30" spans="1:37">
      <c r="A30" s="88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105"/>
      <c r="Q30" s="9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06"/>
      <c r="AC30" s="117"/>
      <c r="AD30" s="116"/>
    </row>
    <row r="31" spans="1:37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105"/>
      <c r="Q31" s="95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106"/>
      <c r="AC31" s="117"/>
      <c r="AD31" s="116"/>
    </row>
    <row r="32" spans="1:37">
      <c r="A32" s="88"/>
      <c r="B32" s="118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105"/>
      <c r="Q32" s="9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06"/>
      <c r="AC32" s="117"/>
      <c r="AD32" s="116"/>
    </row>
    <row r="33" spans="1:30">
      <c r="A33" s="88"/>
      <c r="B33" s="97"/>
      <c r="C33" s="97"/>
      <c r="D33" s="97"/>
      <c r="E33" s="97"/>
      <c r="F33" s="105"/>
      <c r="G33" s="97"/>
      <c r="H33" s="97"/>
      <c r="I33" s="97"/>
      <c r="J33" s="97"/>
      <c r="K33" s="97"/>
      <c r="L33" s="97"/>
      <c r="M33" s="97"/>
      <c r="N33" s="97"/>
      <c r="O33" s="97"/>
      <c r="P33" s="106"/>
      <c r="Q33" s="9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06"/>
      <c r="AC33" s="117"/>
      <c r="AD33" s="87"/>
    </row>
    <row r="34" spans="1:30">
      <c r="A34" s="88"/>
      <c r="B34" s="89"/>
      <c r="C34" s="89"/>
      <c r="D34" s="190"/>
      <c r="E34" s="191"/>
      <c r="F34" s="191"/>
      <c r="G34" s="76"/>
      <c r="H34" s="76"/>
      <c r="I34" s="89"/>
      <c r="J34" s="89"/>
      <c r="K34" s="89"/>
      <c r="L34" s="89"/>
      <c r="M34" s="89"/>
      <c r="N34" s="89"/>
      <c r="O34" s="89"/>
      <c r="P34" s="105"/>
      <c r="Q34" s="95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106"/>
      <c r="AC34" s="117"/>
      <c r="AD34" s="116"/>
    </row>
    <row r="35" spans="1:30">
      <c r="A35" s="88"/>
      <c r="B35" s="97"/>
      <c r="C35" s="97"/>
      <c r="D35" s="76"/>
      <c r="E35" s="76"/>
      <c r="F35" s="183"/>
      <c r="G35" s="76"/>
      <c r="H35" s="184"/>
      <c r="I35" s="179"/>
      <c r="J35" s="179"/>
      <c r="K35" s="179"/>
      <c r="L35" s="97"/>
      <c r="M35" s="97"/>
      <c r="N35" s="97"/>
      <c r="O35" s="97"/>
      <c r="P35" s="105"/>
      <c r="Q35" s="9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06"/>
      <c r="AC35" s="117"/>
      <c r="AD35" s="116"/>
    </row>
    <row r="36" spans="1:30">
      <c r="A36" s="82"/>
      <c r="B36" s="97"/>
      <c r="C36" s="89"/>
      <c r="D36" s="76"/>
      <c r="E36" s="76"/>
      <c r="F36" s="191"/>
      <c r="G36" s="76"/>
      <c r="H36" s="76"/>
      <c r="I36" s="89"/>
      <c r="J36" s="89"/>
      <c r="K36" s="89"/>
      <c r="L36" s="89"/>
      <c r="M36" s="89"/>
      <c r="N36" s="89"/>
      <c r="O36" s="89"/>
      <c r="P36" s="105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106"/>
      <c r="AC36" s="117"/>
      <c r="AD36" s="116"/>
    </row>
    <row r="37" spans="1:30">
      <c r="A37" s="82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117"/>
      <c r="AD37" s="87"/>
    </row>
    <row r="38" spans="1:30">
      <c r="A38" s="82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117"/>
      <c r="AD38" s="87"/>
    </row>
    <row r="39" spans="1:30">
      <c r="A39" s="108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89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117"/>
      <c r="AD39" s="87"/>
    </row>
    <row r="40" spans="1:30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105"/>
      <c r="Q40" s="95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106"/>
      <c r="AC40" s="117"/>
      <c r="AD40" s="116"/>
    </row>
    <row r="41" spans="1:30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105"/>
      <c r="Q41" s="95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106"/>
      <c r="AC41" s="117"/>
      <c r="AD41" s="116"/>
    </row>
    <row r="42" spans="1:30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105"/>
      <c r="Q42" s="95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106"/>
      <c r="AC42" s="117"/>
      <c r="AD42" s="116"/>
    </row>
    <row r="43" spans="1:30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105"/>
      <c r="Q43" s="95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06"/>
      <c r="AC43" s="117"/>
      <c r="AD43" s="116"/>
    </row>
    <row r="44" spans="1:30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105"/>
      <c r="Q44" s="95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106"/>
      <c r="AC44" s="117"/>
      <c r="AD44" s="116"/>
    </row>
    <row r="45" spans="1:30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105"/>
      <c r="Q45" s="95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106"/>
      <c r="AC45" s="117"/>
      <c r="AD45" s="116"/>
    </row>
    <row r="46" spans="1:30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105"/>
      <c r="Q46" s="95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106"/>
      <c r="AC46" s="117"/>
      <c r="AD46" s="116"/>
    </row>
    <row r="47" spans="1:30">
      <c r="A47" s="8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105"/>
      <c r="Q47" s="95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106"/>
      <c r="AC47" s="117"/>
      <c r="AD47" s="116"/>
    </row>
    <row r="48" spans="1:30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105"/>
      <c r="Q48" s="95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106"/>
      <c r="AC48" s="117"/>
      <c r="AD48" s="116"/>
    </row>
    <row r="49" spans="1:30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105"/>
      <c r="Q49" s="95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106"/>
      <c r="AC49" s="117"/>
      <c r="AD49" s="116"/>
    </row>
    <row r="50" spans="1:30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105"/>
      <c r="Q50" s="95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106"/>
      <c r="AC50" s="117"/>
      <c r="AD50" s="116"/>
    </row>
    <row r="51" spans="1:30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105"/>
      <c r="Q51" s="95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106"/>
      <c r="AC51" s="117"/>
      <c r="AD51" s="116"/>
    </row>
    <row r="52" spans="1:30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105"/>
      <c r="Q52" s="95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106"/>
      <c r="AC52" s="117"/>
      <c r="AD52" s="116"/>
    </row>
    <row r="53" spans="1:30">
      <c r="A53" s="88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6"/>
      <c r="Q53" s="95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106"/>
      <c r="AC53" s="117"/>
      <c r="AD53" s="87"/>
    </row>
    <row r="54" spans="1:30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105"/>
      <c r="Q54" s="95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106"/>
      <c r="AC54" s="117"/>
      <c r="AD54" s="116"/>
    </row>
    <row r="55" spans="1:30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105"/>
      <c r="Q55" s="95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106"/>
      <c r="AC55" s="117"/>
      <c r="AD55" s="116"/>
    </row>
    <row r="56" spans="1:30">
      <c r="A56" s="93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09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0"/>
      <c r="AC56" s="117"/>
      <c r="AD56" s="87"/>
    </row>
    <row r="57" spans="1:30">
      <c r="A57" s="93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87"/>
    </row>
    <row r="58" spans="1:30">
      <c r="A58" s="93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11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</row>
    <row r="59" spans="1:30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107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</row>
    <row r="60" spans="1:30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107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</row>
    <row r="61" spans="1:30">
      <c r="A61" s="93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107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</row>
    <row r="62" spans="1:30">
      <c r="A62" s="93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107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</row>
    <row r="63" spans="1:30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  <c r="O63" s="94"/>
      <c r="P63" s="107"/>
      <c r="Q63" s="94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3"/>
      <c r="AC63" s="93"/>
      <c r="AD63" s="94"/>
    </row>
    <row r="64" spans="1:30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4"/>
      <c r="O64" s="94"/>
      <c r="P64" s="107"/>
      <c r="Q64" s="94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3"/>
      <c r="AC64" s="93"/>
      <c r="AD64" s="94"/>
    </row>
    <row r="65" spans="16:16">
      <c r="P65" s="41"/>
    </row>
    <row r="66" spans="16:16">
      <c r="P66" s="41"/>
    </row>
    <row r="67" spans="16:16">
      <c r="P67" s="41"/>
    </row>
    <row r="68" spans="16:16">
      <c r="P68" s="41"/>
    </row>
    <row r="69" spans="16:16">
      <c r="P69" s="41"/>
    </row>
    <row r="70" spans="16:16">
      <c r="P70" s="41"/>
    </row>
    <row r="71" spans="16:16">
      <c r="P71" s="41"/>
    </row>
    <row r="72" spans="16:16">
      <c r="P72" s="41"/>
    </row>
    <row r="73" spans="16:16">
      <c r="P73" s="41"/>
    </row>
    <row r="74" spans="16:16">
      <c r="P74" s="41"/>
    </row>
    <row r="75" spans="16:16">
      <c r="P75" s="41"/>
    </row>
    <row r="76" spans="16:16">
      <c r="P76" s="41"/>
    </row>
    <row r="77" spans="16:16">
      <c r="P77" s="41"/>
    </row>
    <row r="78" spans="16:16">
      <c r="P78" s="41"/>
    </row>
    <row r="79" spans="16:16">
      <c r="P79" s="41"/>
    </row>
    <row r="80" spans="16:16">
      <c r="P80" s="41"/>
    </row>
    <row r="81" spans="16:16">
      <c r="P81" s="41"/>
    </row>
    <row r="82" spans="16:16">
      <c r="P82" s="41"/>
    </row>
    <row r="83" spans="16:16">
      <c r="P83" s="41"/>
    </row>
    <row r="84" spans="16:16">
      <c r="P84" s="41"/>
    </row>
    <row r="85" spans="16:16">
      <c r="P85" s="41"/>
    </row>
    <row r="86" spans="16:16">
      <c r="P86" s="41"/>
    </row>
    <row r="87" spans="16:16">
      <c r="P87" s="41"/>
    </row>
    <row r="88" spans="16:16">
      <c r="P88" s="41"/>
    </row>
    <row r="89" spans="16:16">
      <c r="P89" s="41"/>
    </row>
    <row r="90" spans="16:16">
      <c r="P90" s="41"/>
    </row>
    <row r="91" spans="16:16">
      <c r="P91" s="41"/>
    </row>
    <row r="92" spans="16:16">
      <c r="P92" s="41"/>
    </row>
    <row r="93" spans="16:16">
      <c r="P93" s="41"/>
    </row>
    <row r="94" spans="16:16">
      <c r="P94" s="41"/>
    </row>
    <row r="95" spans="16:16">
      <c r="P95" s="41"/>
    </row>
    <row r="96" spans="16:16">
      <c r="P96" s="41"/>
    </row>
    <row r="97" spans="16:16">
      <c r="P97" s="41"/>
    </row>
    <row r="98" spans="16:16">
      <c r="P98" s="41"/>
    </row>
  </sheetData>
  <phoneticPr fontId="20" type="noConversion"/>
  <printOptions gridLines="1"/>
  <pageMargins left="0.25" right="0.25" top="1" bottom="1" header="0.5" footer="0.5"/>
  <pageSetup scale="85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Totals and Awards</vt:lpstr>
      <vt:lpstr>Paper</vt:lpstr>
      <vt:lpstr>Static</vt:lpstr>
      <vt:lpstr>MSRP</vt:lpstr>
      <vt:lpstr>Subjective Handling</vt:lpstr>
      <vt:lpstr>Range</vt:lpstr>
      <vt:lpstr>Oral</vt:lpstr>
      <vt:lpstr>Noise</vt:lpstr>
      <vt:lpstr>Draw Bar Pull</vt:lpstr>
      <vt:lpstr>Cold Start</vt:lpstr>
      <vt:lpstr>Vehicle Weights</vt:lpstr>
      <vt:lpstr>Objective Handling</vt:lpstr>
      <vt:lpstr>Acceleration+Load</vt:lpstr>
      <vt:lpstr>Penalties and Bonuses</vt:lpstr>
      <vt:lpstr>Sheet1</vt:lpstr>
      <vt:lpstr>'Subjective Handling'!Print_Area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 Fussell</dc:creator>
  <cp:lastModifiedBy>jmeldrum</cp:lastModifiedBy>
  <cp:lastPrinted>2012-03-11T15:37:12Z</cp:lastPrinted>
  <dcterms:created xsi:type="dcterms:W3CDTF">2000-03-12T02:15:03Z</dcterms:created>
  <dcterms:modified xsi:type="dcterms:W3CDTF">2014-03-10T14:22:58Z</dcterms:modified>
</cp:coreProperties>
</file>