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4260" windowWidth="16608" windowHeight="432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Emissions'!$N$19</definedName>
    <definedName name="Bmin">'Lab Emissions'!$N$18</definedName>
    <definedName name="Emax">'Lab Emissions'!$J$19</definedName>
    <definedName name="Emin">'Lab Emissions'!$J$18</definedName>
    <definedName name="_xlnm.Print_Area" localSheetId="0">'Totals and Awards'!$A$1:$O$58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4"/>
  <c r="P6" i="18"/>
  <c r="P7"/>
  <c r="P9"/>
  <c r="P11"/>
  <c r="P12"/>
  <c r="P14"/>
  <c r="P15"/>
  <c r="P17"/>
  <c r="P5"/>
  <c r="L6"/>
  <c r="L7"/>
  <c r="L9"/>
  <c r="L11"/>
  <c r="L12"/>
  <c r="L14"/>
  <c r="L15"/>
  <c r="L17"/>
  <c r="L5"/>
  <c r="E2" i="7"/>
  <c r="F32" i="13"/>
  <c r="B54"/>
  <c r="B56"/>
  <c r="B50"/>
  <c r="B49"/>
  <c r="B48"/>
  <c r="B46"/>
  <c r="B47"/>
  <c r="B45"/>
  <c r="B44"/>
  <c r="B43"/>
  <c r="B42"/>
  <c r="J18" i="18"/>
  <c r="H6" i="6"/>
  <c r="H7"/>
  <c r="H9"/>
  <c r="H10"/>
  <c r="H11"/>
  <c r="H14"/>
  <c r="H15"/>
  <c r="H17"/>
  <c r="H5"/>
  <c r="G6"/>
  <c r="H5" i="13" s="1"/>
  <c r="G7" i="6"/>
  <c r="H7" i="13"/>
  <c r="G9" i="6"/>
  <c r="G10"/>
  <c r="H9" i="13" s="1"/>
  <c r="G11" i="6"/>
  <c r="H11" i="13"/>
  <c r="G14" i="6"/>
  <c r="H13" i="13" s="1"/>
  <c r="G15" i="6"/>
  <c r="H15" i="13"/>
  <c r="G17" i="6"/>
  <c r="G5"/>
  <c r="F6"/>
  <c r="F7"/>
  <c r="F9"/>
  <c r="F10"/>
  <c r="F11"/>
  <c r="F14"/>
  <c r="F17"/>
  <c r="F5"/>
  <c r="B41" i="13"/>
  <c r="B40"/>
  <c r="B39"/>
  <c r="B38"/>
  <c r="B37"/>
  <c r="B52"/>
  <c r="H6"/>
  <c r="H8"/>
  <c r="H10"/>
  <c r="H12"/>
  <c r="H14"/>
  <c r="H16"/>
  <c r="H4"/>
  <c r="C15" i="10"/>
  <c r="C7"/>
  <c r="B55" i="13" l="1"/>
  <c r="B51"/>
  <c r="K9" i="19"/>
  <c r="H17"/>
  <c r="H14"/>
  <c r="H11"/>
  <c r="H9"/>
  <c r="B20" i="6" l="1"/>
  <c r="E19" l="1"/>
  <c r="B19" l="1"/>
  <c r="D22" i="4" l="1"/>
  <c r="D20"/>
  <c r="D19"/>
  <c r="D15"/>
  <c r="D16"/>
  <c r="D14"/>
  <c r="D10"/>
  <c r="D11"/>
  <c r="D12"/>
  <c r="H18" i="19" l="1"/>
  <c r="H16"/>
  <c r="H15"/>
  <c r="Q13" i="14"/>
  <c r="R13" s="1"/>
  <c r="Q14"/>
  <c r="R14"/>
  <c r="Q16"/>
  <c r="R16" s="1"/>
  <c r="O70" i="1"/>
  <c r="O67"/>
  <c r="O68" s="1"/>
  <c r="B16" i="13" s="1"/>
  <c r="M70" i="1"/>
  <c r="M67"/>
  <c r="M68" s="1"/>
  <c r="E14" i="15"/>
  <c r="H14" s="1"/>
  <c r="E15"/>
  <c r="H15" s="1"/>
  <c r="E16"/>
  <c r="H16" s="1"/>
  <c r="D7" i="11"/>
  <c r="D8"/>
  <c r="D10"/>
  <c r="D11"/>
  <c r="D12"/>
  <c r="D13"/>
  <c r="E3"/>
  <c r="D15"/>
  <c r="D16"/>
  <c r="D18"/>
  <c r="C5" i="10"/>
  <c r="C6"/>
  <c r="C8"/>
  <c r="C9"/>
  <c r="C10"/>
  <c r="C11"/>
  <c r="C12"/>
  <c r="C13"/>
  <c r="C14"/>
  <c r="C16"/>
  <c r="D15" i="7"/>
  <c r="D17"/>
  <c r="D5"/>
  <c r="D6"/>
  <c r="D7"/>
  <c r="D9"/>
  <c r="D11"/>
  <c r="D12"/>
  <c r="D14"/>
  <c r="AK14" i="5"/>
  <c r="AL14" s="1"/>
  <c r="AK16"/>
  <c r="AL16" s="1"/>
  <c r="AK5"/>
  <c r="AL5" s="1"/>
  <c r="AK4"/>
  <c r="AL4" s="1"/>
  <c r="AK6"/>
  <c r="AL6" s="1"/>
  <c r="AK8"/>
  <c r="AL8" s="1"/>
  <c r="AK9"/>
  <c r="AL9" s="1"/>
  <c r="AK10"/>
  <c r="AL10" s="1"/>
  <c r="AK11"/>
  <c r="AL11" s="1"/>
  <c r="AK12"/>
  <c r="AL12" s="1"/>
  <c r="AK13"/>
  <c r="AL13" s="1"/>
  <c r="J11" i="13"/>
  <c r="R5" i="18"/>
  <c r="D6" i="11"/>
  <c r="Q5" i="14"/>
  <c r="Q6"/>
  <c r="Q8"/>
  <c r="Q9"/>
  <c r="Q10"/>
  <c r="Q4"/>
  <c r="C14" i="13"/>
  <c r="O5"/>
  <c r="O6"/>
  <c r="O7"/>
  <c r="O8"/>
  <c r="O9"/>
  <c r="O10"/>
  <c r="O11"/>
  <c r="O12"/>
  <c r="O13"/>
  <c r="O14"/>
  <c r="O15"/>
  <c r="O16"/>
  <c r="J5"/>
  <c r="J6"/>
  <c r="J7"/>
  <c r="J8"/>
  <c r="J9"/>
  <c r="J10"/>
  <c r="J12"/>
  <c r="J14"/>
  <c r="J15"/>
  <c r="J16"/>
  <c r="C16"/>
  <c r="N70" i="1"/>
  <c r="B15" i="13"/>
  <c r="J5" i="12"/>
  <c r="N5" i="13"/>
  <c r="J6" i="12"/>
  <c r="N6" i="13" s="1"/>
  <c r="J7" i="12"/>
  <c r="N7" i="13"/>
  <c r="J8" i="12"/>
  <c r="N8" i="13" s="1"/>
  <c r="J9" i="12"/>
  <c r="N9" i="13" s="1"/>
  <c r="J10" i="12"/>
  <c r="N10" i="13" s="1"/>
  <c r="J11" i="12"/>
  <c r="N11" i="13"/>
  <c r="J12" i="12"/>
  <c r="N12" i="13"/>
  <c r="J13" i="12"/>
  <c r="N13" i="13"/>
  <c r="J14" i="12"/>
  <c r="N14" i="13" s="1"/>
  <c r="J15" i="12"/>
  <c r="N15" i="13"/>
  <c r="J16" i="12"/>
  <c r="N16" i="13" s="1"/>
  <c r="L14"/>
  <c r="L15"/>
  <c r="L16"/>
  <c r="L7"/>
  <c r="H10" i="19"/>
  <c r="H12"/>
  <c r="H13"/>
  <c r="R15" i="18"/>
  <c r="R16"/>
  <c r="R17"/>
  <c r="R8"/>
  <c r="G15" i="13"/>
  <c r="R8" i="14"/>
  <c r="E8" i="13" s="1"/>
  <c r="R9" i="14"/>
  <c r="E9" i="13" s="1"/>
  <c r="R10" i="14"/>
  <c r="E10" i="13" s="1"/>
  <c r="B27" i="3"/>
  <c r="B26"/>
  <c r="F2" i="19"/>
  <c r="H6"/>
  <c r="H7"/>
  <c r="H8"/>
  <c r="L9" i="13"/>
  <c r="L10"/>
  <c r="L11"/>
  <c r="L12"/>
  <c r="L13"/>
  <c r="L8"/>
  <c r="E5" i="15"/>
  <c r="E6"/>
  <c r="E7"/>
  <c r="E8"/>
  <c r="H8" s="1"/>
  <c r="E9"/>
  <c r="E10"/>
  <c r="E11"/>
  <c r="E12"/>
  <c r="H12" s="1"/>
  <c r="E13"/>
  <c r="E4"/>
  <c r="H7" s="1"/>
  <c r="D70" i="1"/>
  <c r="E70"/>
  <c r="F70"/>
  <c r="G70"/>
  <c r="H70"/>
  <c r="I70"/>
  <c r="J70"/>
  <c r="K70"/>
  <c r="L70"/>
  <c r="C70"/>
  <c r="P47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8"/>
  <c r="P49"/>
  <c r="P50"/>
  <c r="P51"/>
  <c r="P52"/>
  <c r="P53"/>
  <c r="P54"/>
  <c r="P55"/>
  <c r="P56"/>
  <c r="P57"/>
  <c r="P58"/>
  <c r="H6" i="15"/>
  <c r="H10"/>
  <c r="H5"/>
  <c r="H9"/>
  <c r="H13"/>
  <c r="B27" i="6"/>
  <c r="C27" s="1"/>
  <c r="R6" i="14"/>
  <c r="E6" i="13" s="1"/>
  <c r="E11"/>
  <c r="E14"/>
  <c r="R4" i="14"/>
  <c r="C12" i="13"/>
  <c r="C9"/>
  <c r="B24" i="3"/>
  <c r="E19" s="1"/>
  <c r="L19" s="1"/>
  <c r="B28" i="6"/>
  <c r="B29" s="1"/>
  <c r="C28"/>
  <c r="B25" i="3"/>
  <c r="E11"/>
  <c r="E9"/>
  <c r="L9" s="1"/>
  <c r="E16"/>
  <c r="L16"/>
  <c r="D13" i="13" s="1"/>
  <c r="E12" i="3"/>
  <c r="L12" s="1"/>
  <c r="E13"/>
  <c r="L13"/>
  <c r="E14"/>
  <c r="L14"/>
  <c r="E10"/>
  <c r="L10"/>
  <c r="E7"/>
  <c r="L7"/>
  <c r="D4" i="13" s="1"/>
  <c r="E15" i="3"/>
  <c r="L15"/>
  <c r="E8"/>
  <c r="L8"/>
  <c r="L11"/>
  <c r="D12" i="13"/>
  <c r="D11"/>
  <c r="D8"/>
  <c r="D5"/>
  <c r="D7"/>
  <c r="D10"/>
  <c r="C4"/>
  <c r="C5"/>
  <c r="C6"/>
  <c r="C7"/>
  <c r="C8"/>
  <c r="C10"/>
  <c r="C11"/>
  <c r="C13"/>
  <c r="C15"/>
  <c r="P3" i="1"/>
  <c r="G7" i="13"/>
  <c r="E3" i="4"/>
  <c r="E2"/>
  <c r="O4" i="13"/>
  <c r="F1" i="19"/>
  <c r="B21" s="1"/>
  <c r="R5" i="14"/>
  <c r="L5" i="13"/>
  <c r="L6"/>
  <c r="C4" i="10"/>
  <c r="L4" i="13" s="1"/>
  <c r="J4" i="12"/>
  <c r="N4" i="13" s="1"/>
  <c r="F2" i="15"/>
  <c r="S10" i="14"/>
  <c r="S9"/>
  <c r="S8"/>
  <c r="S6"/>
  <c r="E5" i="13"/>
  <c r="S5" i="14"/>
  <c r="R13" i="18"/>
  <c r="R12"/>
  <c r="R10"/>
  <c r="R11"/>
  <c r="D25" i="13"/>
  <c r="J2" i="19"/>
  <c r="J1"/>
  <c r="R14" i="18"/>
  <c r="J13" i="13"/>
  <c r="D28"/>
  <c r="R6" i="18"/>
  <c r="J4" i="13"/>
  <c r="R7" i="18"/>
  <c r="R9"/>
  <c r="E4" i="13"/>
  <c r="D21"/>
  <c r="I67" i="1"/>
  <c r="I68"/>
  <c r="B10" i="13" s="1"/>
  <c r="E67" i="1"/>
  <c r="E68" s="1"/>
  <c r="F67"/>
  <c r="F68"/>
  <c r="B7" i="13" s="1"/>
  <c r="C67" i="1"/>
  <c r="C68"/>
  <c r="B4" i="13" s="1"/>
  <c r="G67" i="1"/>
  <c r="G68" s="1"/>
  <c r="L67"/>
  <c r="L68" s="1"/>
  <c r="B13" i="13" s="1"/>
  <c r="K67" i="1"/>
  <c r="K68" s="1"/>
  <c r="J67"/>
  <c r="J68"/>
  <c r="B11" i="13" s="1"/>
  <c r="D67" i="1"/>
  <c r="D68" s="1"/>
  <c r="H67"/>
  <c r="H68"/>
  <c r="B9" i="13" s="1"/>
  <c r="E2" i="11" l="1"/>
  <c r="E22" s="1"/>
  <c r="E23" s="1"/>
  <c r="D21" i="7"/>
  <c r="S16" i="14"/>
  <c r="E16" i="13"/>
  <c r="S4" i="14"/>
  <c r="S14"/>
  <c r="D6" i="13"/>
  <c r="D9"/>
  <c r="D16"/>
  <c r="D15"/>
  <c r="E17" i="3"/>
  <c r="L17" s="1"/>
  <c r="M11" s="1"/>
  <c r="K71" i="1"/>
  <c r="B12" i="13"/>
  <c r="B6"/>
  <c r="E71" i="1"/>
  <c r="D71"/>
  <c r="L71"/>
  <c r="C71"/>
  <c r="B5" i="13"/>
  <c r="H71" i="1"/>
  <c r="I71"/>
  <c r="B8" i="13"/>
  <c r="G71" i="1"/>
  <c r="J71"/>
  <c r="F71"/>
  <c r="B30" i="6"/>
  <c r="C29"/>
  <c r="D33" i="13"/>
  <c r="D23"/>
  <c r="D31"/>
  <c r="D26"/>
  <c r="D29"/>
  <c r="D24"/>
  <c r="D27"/>
  <c r="D30"/>
  <c r="AM4" i="5"/>
  <c r="G4" i="13"/>
  <c r="AM12" i="5"/>
  <c r="G5" i="13"/>
  <c r="AM5" i="5"/>
  <c r="AM8"/>
  <c r="G8" i="13"/>
  <c r="G9"/>
  <c r="AM9" i="5"/>
  <c r="AM10"/>
  <c r="G10" i="13"/>
  <c r="G13"/>
  <c r="AM13" i="5"/>
  <c r="AM11"/>
  <c r="G11" i="13"/>
  <c r="G12"/>
  <c r="AM16" i="5"/>
  <c r="G16" i="13"/>
  <c r="AM14" i="5"/>
  <c r="G14" i="13"/>
  <c r="AM6" i="5"/>
  <c r="G6" i="13"/>
  <c r="E6" i="4"/>
  <c r="E7" s="1"/>
  <c r="E12" s="1"/>
  <c r="F1" i="15"/>
  <c r="H4"/>
  <c r="H11"/>
  <c r="F21" i="19"/>
  <c r="B22"/>
  <c r="C12"/>
  <c r="C7"/>
  <c r="S13" i="14"/>
  <c r="E13" i="13"/>
  <c r="E15"/>
  <c r="E12"/>
  <c r="E7"/>
  <c r="O71" i="1"/>
  <c r="M71"/>
  <c r="B14" i="13"/>
  <c r="D22" i="7" l="1"/>
  <c r="E5" s="1"/>
  <c r="E7" i="11"/>
  <c r="M5" i="13" s="1"/>
  <c r="E22" s="1"/>
  <c r="E10" i="11"/>
  <c r="M8" i="13" s="1"/>
  <c r="E25" s="1"/>
  <c r="E18" i="11"/>
  <c r="M16" i="13" s="1"/>
  <c r="E33" s="1"/>
  <c r="E6" i="11"/>
  <c r="M4" i="13" s="1"/>
  <c r="E21" s="1"/>
  <c r="E16" i="11"/>
  <c r="M14" i="13" s="1"/>
  <c r="E31" s="1"/>
  <c r="E12" i="11"/>
  <c r="M10" i="13" s="1"/>
  <c r="E27" s="1"/>
  <c r="E8" i="11"/>
  <c r="M6" i="13" s="1"/>
  <c r="E23" s="1"/>
  <c r="M7"/>
  <c r="E24" s="1"/>
  <c r="E13" i="11"/>
  <c r="M11" i="13" s="1"/>
  <c r="E28" s="1"/>
  <c r="M12"/>
  <c r="E15" i="11"/>
  <c r="E11"/>
  <c r="C8" i="19"/>
  <c r="C10"/>
  <c r="C13"/>
  <c r="C18"/>
  <c r="C15"/>
  <c r="C16"/>
  <c r="I15" i="13"/>
  <c r="D32" s="1"/>
  <c r="I7"/>
  <c r="I12"/>
  <c r="I13"/>
  <c r="I9"/>
  <c r="M15" i="3"/>
  <c r="M16"/>
  <c r="M10"/>
  <c r="M9"/>
  <c r="M17"/>
  <c r="D14" i="13"/>
  <c r="M18" i="3"/>
  <c r="M7"/>
  <c r="M14"/>
  <c r="M19"/>
  <c r="M12"/>
  <c r="M13"/>
  <c r="M8"/>
  <c r="B31" i="6"/>
  <c r="C30"/>
  <c r="E16" i="4"/>
  <c r="E11"/>
  <c r="F5" i="13" s="1"/>
  <c r="E19" i="4"/>
  <c r="F13" i="13" s="1"/>
  <c r="E20" i="4"/>
  <c r="F14" i="13" s="1"/>
  <c r="E15" i="4"/>
  <c r="F9" i="13" s="1"/>
  <c r="F6"/>
  <c r="E14" i="4"/>
  <c r="F12" i="13"/>
  <c r="E22" i="4"/>
  <c r="F11" i="13"/>
  <c r="E10" i="4"/>
  <c r="F22" i="19"/>
  <c r="I16" s="1"/>
  <c r="C6"/>
  <c r="F10" i="13"/>
  <c r="F8"/>
  <c r="E29"/>
  <c r="D10" i="19" l="1"/>
  <c r="F29" i="13"/>
  <c r="E11" i="7"/>
  <c r="I10" i="13" s="1"/>
  <c r="E17" i="7"/>
  <c r="I16" i="13" s="1"/>
  <c r="C33" s="1"/>
  <c r="E12" i="7"/>
  <c r="I11" i="13" s="1"/>
  <c r="B28" s="1"/>
  <c r="E9" i="7"/>
  <c r="E6"/>
  <c r="E15"/>
  <c r="I14" i="13" s="1"/>
  <c r="C31" s="1"/>
  <c r="E7" i="7"/>
  <c r="I6" i="13" s="1"/>
  <c r="B23" s="1"/>
  <c r="I4"/>
  <c r="C21" s="1"/>
  <c r="I5"/>
  <c r="F22" s="1"/>
  <c r="F6" i="11"/>
  <c r="M13" i="13"/>
  <c r="E30" s="1"/>
  <c r="F15" i="11"/>
  <c r="F10"/>
  <c r="F14"/>
  <c r="F18"/>
  <c r="F13"/>
  <c r="F8"/>
  <c r="F12"/>
  <c r="F16"/>
  <c r="M9" i="13"/>
  <c r="E26" s="1"/>
  <c r="F7" i="11"/>
  <c r="I17" i="19"/>
  <c r="I14"/>
  <c r="I11"/>
  <c r="I9"/>
  <c r="D7"/>
  <c r="D13"/>
  <c r="D12"/>
  <c r="D8"/>
  <c r="D16"/>
  <c r="D15"/>
  <c r="D18"/>
  <c r="C30" i="13"/>
  <c r="B29"/>
  <c r="C29"/>
  <c r="C26"/>
  <c r="B26"/>
  <c r="B24"/>
  <c r="C24"/>
  <c r="B33"/>
  <c r="B32"/>
  <c r="C32"/>
  <c r="B32" i="6"/>
  <c r="C31"/>
  <c r="F18" i="4"/>
  <c r="F15" i="13"/>
  <c r="F7"/>
  <c r="F24" s="1"/>
  <c r="F14" i="4"/>
  <c r="F11"/>
  <c r="F19"/>
  <c r="F15"/>
  <c r="F12"/>
  <c r="F20"/>
  <c r="F16"/>
  <c r="F4" i="13"/>
  <c r="F10" i="4"/>
  <c r="F16" i="13"/>
  <c r="F22" i="4"/>
  <c r="I18" i="19"/>
  <c r="K14" i="13"/>
  <c r="K16" i="19"/>
  <c r="I7"/>
  <c r="I8"/>
  <c r="I12"/>
  <c r="I10"/>
  <c r="I13"/>
  <c r="I6"/>
  <c r="I15"/>
  <c r="D6"/>
  <c r="F33" i="13" l="1"/>
  <c r="B27"/>
  <c r="F27"/>
  <c r="F21"/>
  <c r="C23"/>
  <c r="B21"/>
  <c r="G31"/>
  <c r="B31"/>
  <c r="C28"/>
  <c r="F31"/>
  <c r="F11" i="7"/>
  <c r="F28" i="13"/>
  <c r="I8"/>
  <c r="F9" i="7"/>
  <c r="F12"/>
  <c r="F23" i="13"/>
  <c r="F5" i="7"/>
  <c r="F14"/>
  <c r="C27" i="13"/>
  <c r="F17" i="7"/>
  <c r="F15"/>
  <c r="F6"/>
  <c r="F7"/>
  <c r="F10"/>
  <c r="F30" i="13"/>
  <c r="B30"/>
  <c r="E35"/>
  <c r="F26"/>
  <c r="J17" i="19"/>
  <c r="J14"/>
  <c r="J11"/>
  <c r="J9"/>
  <c r="K7" i="13"/>
  <c r="G24" s="1"/>
  <c r="J6" i="19"/>
  <c r="J16"/>
  <c r="B33" i="6"/>
  <c r="C32"/>
  <c r="J18" i="19"/>
  <c r="K16" i="13"/>
  <c r="G33" s="1"/>
  <c r="K18" i="19"/>
  <c r="K17"/>
  <c r="K15" i="13"/>
  <c r="G32" s="1"/>
  <c r="K6" i="19"/>
  <c r="K4" i="13"/>
  <c r="G21" s="1"/>
  <c r="K11" i="19"/>
  <c r="K9" i="13"/>
  <c r="G26" s="1"/>
  <c r="J15" i="19"/>
  <c r="K15"/>
  <c r="K13" i="13"/>
  <c r="G30" s="1"/>
  <c r="J10" i="19"/>
  <c r="K10"/>
  <c r="K8" i="13"/>
  <c r="J12" i="19"/>
  <c r="K12"/>
  <c r="K10" i="13"/>
  <c r="G27" s="1"/>
  <c r="J7" i="19"/>
  <c r="K5" i="13"/>
  <c r="G22" s="1"/>
  <c r="K7" i="19"/>
  <c r="J13"/>
  <c r="K11" i="13"/>
  <c r="G28" s="1"/>
  <c r="K13" i="19"/>
  <c r="K12" i="13"/>
  <c r="G29" s="1"/>
  <c r="K14" i="19"/>
  <c r="J8"/>
  <c r="K6" i="13"/>
  <c r="G23" s="1"/>
  <c r="K8" i="19"/>
  <c r="G25" i="13" l="1"/>
  <c r="H33" s="1"/>
  <c r="B25"/>
  <c r="C25"/>
  <c r="F25"/>
  <c r="F35" s="1"/>
  <c r="H22"/>
  <c r="H30"/>
  <c r="C33" i="6"/>
  <c r="B34"/>
  <c r="H25" i="13" l="1"/>
  <c r="H21"/>
  <c r="H29"/>
  <c r="H32"/>
  <c r="H26"/>
  <c r="H28"/>
  <c r="H24"/>
  <c r="H23"/>
  <c r="H31"/>
  <c r="H27"/>
  <c r="B35" i="6"/>
  <c r="C34"/>
  <c r="C35" l="1"/>
  <c r="B36"/>
  <c r="B37" l="1"/>
  <c r="C36"/>
  <c r="B38" l="1"/>
  <c r="C37"/>
  <c r="B39" l="1"/>
  <c r="C38"/>
  <c r="B40" l="1"/>
  <c r="C39"/>
  <c r="B41" l="1"/>
  <c r="C40"/>
  <c r="C41" l="1"/>
  <c r="B42"/>
  <c r="B43" l="1"/>
  <c r="C43" s="1"/>
  <c r="C42"/>
  <c r="E18" l="1"/>
  <c r="E20" s="1"/>
  <c r="E21" s="1"/>
  <c r="B22" i="13"/>
  <c r="B35" s="1"/>
  <c r="C22" l="1"/>
  <c r="C35" s="1"/>
  <c r="D22"/>
  <c r="D35" s="1"/>
</calcChain>
</file>

<file path=xl/sharedStrings.xml><?xml version="1.0" encoding="utf-8"?>
<sst xmlns="http://schemas.openxmlformats.org/spreadsheetml/2006/main" count="638" uniqueCount="247">
  <si>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</si>
  <si>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</si>
  <si>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</si>
  <si>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</si>
  <si>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</si>
  <si>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</si>
  <si>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</si>
  <si>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</si>
  <si>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</si>
  <si>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</si>
  <si>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</si>
  <si>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</si>
  <si>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</si>
  <si>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</si>
  <si>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</si>
  <si>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</si>
  <si>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</si>
  <si>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</si>
  <si>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</si>
  <si>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</si>
  <si>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</si>
  <si>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</si>
  <si>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</si>
  <si>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</si>
  <si>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Value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</si>
  <si>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</si>
  <si>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</si>
  <si>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</si>
  <si>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</si>
  <si>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</si>
  <si>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</si>
  <si>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</si>
  <si>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</si>
  <si>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</si>
  <si>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</si>
  <si>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</si>
  <si>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</si>
  <si>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</si>
  <si>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</si>
  <si>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</si>
  <si>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</si>
  <si>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</si>
  <si>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</si>
  <si>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</si>
  <si>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</si>
  <si>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</si>
  <si>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</si>
  <si>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</si>
  <si>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</si>
  <si>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</si>
  <si>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Ride</t>
  </si>
  <si>
    <t>Comments</t>
  </si>
  <si>
    <t>Actual
Gallons
Consumed</t>
  </si>
  <si>
    <t>J192 Level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</si>
  <si>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</si>
  <si>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</si>
  <si>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</si>
  <si>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</si>
  <si>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</si>
  <si>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</si>
  <si>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</si>
  <si>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</si>
  <si>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</si>
  <si>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</si>
  <si>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</si>
  <si>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</si>
  <si>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</si>
  <si>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</si>
  <si>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</si>
  <si>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</si>
  <si>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Ride Winner (Denso)</t>
  </si>
  <si>
    <t>Best Design Winner (SAE)</t>
  </si>
  <si>
    <t>Best Fuel Economy Winner (Gage)</t>
  </si>
  <si>
    <t>Most Practical Winner (BRC)</t>
  </si>
  <si>
    <t>Best Value Winner (EMITEC)</t>
  </si>
  <si>
    <t>Best Handling (Polaris)</t>
  </si>
  <si>
    <t>Average</t>
  </si>
  <si>
    <t>Maximum</t>
  </si>
  <si>
    <t>Minimum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</si>
  <si>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</si>
  <si>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</si>
  <si>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</si>
  <si>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</si>
  <si>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</si>
  <si>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</si>
  <si>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</si>
  <si>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</si>
  <si>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</si>
  <si>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</si>
  <si>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</si>
  <si>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</si>
  <si>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</si>
  <si>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Best Emissions Winner (AVL)</t>
  </si>
  <si>
    <t>Lowest "In Service" Emissions (Sensors)</t>
  </si>
  <si>
    <t>FINAL EMISSIONS (grams/mile)</t>
  </si>
  <si>
    <t>No points for</t>
  </si>
  <si>
    <t>Weight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</si>
  <si>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</si>
  <si>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</si>
  <si>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</si>
  <si>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</si>
  <si>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</si>
  <si>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</si>
  <si>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</si>
  <si>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</si>
  <si>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</si>
  <si>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</si>
  <si>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</si>
  <si>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</si>
  <si>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</si>
  <si>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</si>
  <si>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</si>
  <si>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</si>
  <si>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</si>
  <si>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</si>
  <si>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</si>
  <si>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</si>
  <si>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</si>
  <si>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</si>
  <si>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</si>
  <si>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</si>
  <si>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</si>
  <si>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Safety Award (Talon)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</si>
  <si>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</si>
  <si>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</si>
  <si>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</si>
  <si>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</si>
  <si>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</si>
  <si>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</si>
  <si>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</si>
  <si>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</si>
  <si>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Second Place Winner Overall (YNP)$750</t>
  </si>
  <si>
    <t>Third Place Winner Overall (ACSA)$500</t>
  </si>
  <si>
    <t>Best Engine Design (Mahle)$500</t>
  </si>
  <si>
    <t>Most Sportsmanlike Winner  (AVL)$1000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</si>
  <si>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</si>
  <si>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</si>
  <si>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</si>
  <si>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</si>
  <si>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</si>
  <si>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</si>
  <si>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</si>
  <si>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</si>
  <si>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</si>
  <si>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</si>
  <si>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</si>
  <si>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</si>
  <si>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</si>
  <si>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</si>
  <si>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</si>
  <si>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</si>
  <si>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Quietest Snowmobile Winner (PCB) Camoplact Trac</t>
  </si>
  <si>
    <t>HBPSI Trail Trac Award $500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</si>
  <si>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</si>
  <si>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</si>
  <si>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</si>
  <si>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</si>
  <si>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</si>
  <si>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</si>
  <si>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</si>
  <si>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</si>
  <si>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Control Sled J192 Noise Level dBA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</si>
  <si>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</si>
  <si>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</si>
  <si>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</si>
  <si>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</si>
  <si>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</si>
  <si>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</si>
  <si>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</si>
  <si>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</si>
  <si>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</si>
  <si>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</si>
  <si>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</si>
  <si>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</si>
  <si>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</si>
  <si>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</si>
  <si>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Note this page will be calculated by AVL in their computer.  Just copy and past results.</t>
  </si>
  <si>
    <t># of papers</t>
  </si>
  <si>
    <t>CO+NO+THC
g/mile</t>
  </si>
  <si>
    <t>m</t>
  </si>
  <si>
    <t>b</t>
  </si>
  <si>
    <t>Endurance</t>
  </si>
  <si>
    <t>If sled has dual mode only the best "E" score run is shown here</t>
  </si>
  <si>
    <t>Diesel</t>
  </si>
  <si>
    <t>Rank</t>
  </si>
  <si>
    <t>Run 1 Lap Time (s)</t>
  </si>
  <si>
    <t>Run 2 Lap Time (s)</t>
  </si>
  <si>
    <t>Top Speed</t>
  </si>
  <si>
    <t>Innovation (BASF)$500</t>
  </si>
  <si>
    <t>If sled has dual mode only the best BSFE score of the two runs is shown here</t>
  </si>
  <si>
    <t xml:space="preserve">#1 Univ of Wisconsin - Madison </t>
  </si>
  <si>
    <t xml:space="preserve">#2 Univ of Wisconsin - Platteville </t>
  </si>
  <si>
    <t xml:space="preserve">#3 Univ of Idaho </t>
  </si>
  <si>
    <t xml:space="preserve">#5 Ecole De Tech. Superieure </t>
  </si>
  <si>
    <t>#6 Michigan Tech University</t>
  </si>
  <si>
    <t xml:space="preserve">#8 SUNY - Buffalo </t>
  </si>
  <si>
    <t xml:space="preserve">#9 University of Waterloo </t>
  </si>
  <si>
    <t>#10 Northern Illinois University</t>
  </si>
  <si>
    <t xml:space="preserve">#11 North Dakota State Univ </t>
  </si>
  <si>
    <t xml:space="preserve">#12 Univ of Minnesota - Duluth </t>
  </si>
  <si>
    <t>#14 Kettering University</t>
  </si>
  <si>
    <t>SAE CSC 2014 Final Score Internal Combustion Class</t>
  </si>
  <si>
    <t>SAE CSC 2014 Design Paper</t>
  </si>
  <si>
    <t>SAE CSC 2014 Static Display Results</t>
  </si>
  <si>
    <t>SAE CSC 2014 MSRP Results</t>
  </si>
  <si>
    <t>SAE CSC 2014 Fuel Economy/Endurance Results</t>
  </si>
  <si>
    <t>SAE CSC 2014 IC Engine Noise Testing</t>
  </si>
  <si>
    <t>SAE CSC 2014 Oral Presentation Results</t>
  </si>
  <si>
    <t>SAE CSC 2014 Lab Emission Testing Results</t>
  </si>
  <si>
    <t>SAE CSC 2014 In Service Emission Testing Results</t>
  </si>
  <si>
    <t>SAE CSC 2014 Cold Start Results</t>
  </si>
  <si>
    <t>SAE CSC 2014 Penalties</t>
  </si>
  <si>
    <t>SAE CSC 2014 IC Vehicle Weights</t>
  </si>
  <si>
    <t>#4 Clarkson University - withdrew</t>
  </si>
  <si>
    <t xml:space="preserve">#4 Clarkson University - withdrew </t>
  </si>
  <si>
    <t>Large format, 8 days late</t>
  </si>
  <si>
    <t>#13 Rochester Inst. of Technology - withdrew</t>
  </si>
  <si>
    <t>#14 Kettering University - withdrew</t>
  </si>
  <si>
    <t>wd</t>
  </si>
  <si>
    <t>DNC</t>
  </si>
  <si>
    <t>Gas/Isobutanol</t>
  </si>
  <si>
    <t>Attempted</t>
  </si>
  <si>
    <t>Were one day late for MSRP review, Scheduled for 2pm Wed, arrived Thursday</t>
  </si>
  <si>
    <t>Fuel consumed (gallons)</t>
  </si>
  <si>
    <t>Did not compete</t>
  </si>
  <si>
    <t>Not able to complete 4 laps</t>
  </si>
  <si>
    <t>Did not compete in event</t>
  </si>
  <si>
    <t>PASS</t>
  </si>
  <si>
    <t>FAIL</t>
  </si>
  <si>
    <t>SAE CSC 2014 Subjective Ride Results - Event Coordinator Mike Rittenour- Polaris</t>
  </si>
  <si>
    <t>SAE CSC 2014 Acceleration Results Mike Rittenour - Polaris</t>
  </si>
  <si>
    <t>SAE CSC 2014 Objective Handling/Driveability Event Results Mike Rittenour- Polaris</t>
  </si>
  <si>
    <t>Box Run 1</t>
  </si>
  <si>
    <t>Box Run 1 - 1 Flag Run 2</t>
  </si>
  <si>
    <t>Box Run 2</t>
  </si>
  <si>
    <t>1 Flag Run 1 - 1 Flag Run 2</t>
  </si>
  <si>
    <t>1 Flag Run 2</t>
  </si>
  <si>
    <t>Helmet Cam @ Cold Start -10</t>
  </si>
  <si>
    <t>No googles @ Cold Start  -10</t>
  </si>
  <si>
    <t>Had to change engine</t>
  </si>
  <si>
    <t>Total Time must be Less than 12 seconds</t>
  </si>
  <si>
    <t>E51 McGill</t>
  </si>
  <si>
    <t>No submission</t>
  </si>
  <si>
    <t>Design Paper
Judge</t>
  </si>
  <si>
    <t>Most Improved (Aristo)$1000</t>
  </si>
  <si>
    <t>First Place Winner Overall
 (ISMA)$1,000 MacLean-Fogg $1000</t>
  </si>
  <si>
    <t>Best Performance Winner Camoplat Trac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</si>
</sst>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8" fillId="2" borderId="0" applyNumberFormat="0" applyBorder="0" applyAlignment="0" applyProtection="0"/>
    <xf numFmtId="44" fontId="39" fillId="0" borderId="0" applyFont="0" applyFill="0" applyBorder="0" applyAlignment="0" applyProtection="0"/>
    <xf numFmtId="0" fontId="5" fillId="0" borderId="0"/>
    <xf numFmtId="0" fontId="6" fillId="0" borderId="0"/>
  </cellStyleXfs>
  <cellXfs count="521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7" fillId="0" borderId="0" xfId="0" applyFont="1" applyAlignment="1" applyProtection="1">
      <alignment horizontal="center"/>
    </xf>
    <xf numFmtId="0" fontId="0" fillId="0" borderId="0" xfId="0" applyProtection="1"/>
    <xf numFmtId="0" fontId="12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0" fontId="7" fillId="0" borderId="0" xfId="0" applyFont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1" fontId="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Fill="1" applyBorder="1"/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4" fillId="0" borderId="0" xfId="0" applyFont="1"/>
    <xf numFmtId="0" fontId="11" fillId="0" borderId="0" xfId="0" applyFont="1" applyFill="1" applyBorder="1" applyAlignment="1" applyProtection="1">
      <alignment horizontal="right"/>
    </xf>
    <xf numFmtId="1" fontId="7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44" fontId="13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1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1" fontId="9" fillId="0" borderId="0" xfId="0" applyNumberFormat="1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center" wrapText="1"/>
    </xf>
    <xf numFmtId="164" fontId="11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 applyProtection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1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1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15" fillId="0" borderId="0" xfId="0" applyFont="1"/>
    <xf numFmtId="0" fontId="7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9" fillId="0" borderId="0" xfId="0" applyFont="1"/>
    <xf numFmtId="0" fontId="9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7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wrapText="1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16" fillId="0" borderId="0" xfId="0" applyFont="1" applyBorder="1" applyProtection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/>
    <xf numFmtId="2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164" fontId="16" fillId="0" borderId="0" xfId="0" applyNumberFormat="1" applyFont="1" applyFill="1" applyAlignment="1" applyProtection="1"/>
    <xf numFmtId="164" fontId="16" fillId="0" borderId="0" xfId="0" applyNumberFormat="1" applyFont="1" applyFill="1" applyProtection="1"/>
    <xf numFmtId="164" fontId="16" fillId="0" borderId="0" xfId="0" applyNumberFormat="1" applyFont="1" applyFill="1"/>
    <xf numFmtId="164" fontId="16" fillId="0" borderId="0" xfId="0" applyNumberFormat="1" applyFont="1" applyFill="1" applyAlignment="1">
      <alignment horizontal="center"/>
    </xf>
    <xf numFmtId="0" fontId="17" fillId="0" borderId="0" xfId="0" applyFont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Protection="1"/>
    <xf numFmtId="2" fontId="17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 applyProtection="1"/>
    <xf numFmtId="0" fontId="11" fillId="0" borderId="0" xfId="0" applyFont="1" applyAlignment="1" applyProtection="1"/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/>
    <xf numFmtId="167" fontId="11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1" fillId="0" borderId="0" xfId="0" applyFont="1" applyFill="1" applyBorder="1" applyAlignment="1" applyProtection="1">
      <alignment horizontal="center" wrapText="1"/>
    </xf>
    <xf numFmtId="165" fontId="10" fillId="0" borderId="0" xfId="0" applyNumberFormat="1" applyFont="1" applyFill="1" applyBorder="1" applyProtection="1"/>
    <xf numFmtId="0" fontId="7" fillId="0" borderId="0" xfId="0" applyFont="1"/>
    <xf numFmtId="2" fontId="7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20" fillId="0" borderId="0" xfId="0" applyFont="1" applyProtection="1"/>
    <xf numFmtId="0" fontId="19" fillId="0" borderId="0" xfId="0" applyFont="1" applyProtection="1"/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7" fontId="20" fillId="0" borderId="0" xfId="0" applyNumberFormat="1" applyFont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/>
    <xf numFmtId="0" fontId="20" fillId="0" borderId="0" xfId="0" applyFont="1" applyFill="1"/>
    <xf numFmtId="0" fontId="20" fillId="0" borderId="0" xfId="0" applyFont="1" applyFill="1" applyBorder="1" applyAlignment="1" applyProtection="1">
      <alignment horizontal="right"/>
    </xf>
    <xf numFmtId="1" fontId="24" fillId="0" borderId="0" xfId="0" applyNumberFormat="1" applyFont="1" applyAlignment="1" applyProtection="1">
      <alignment horizontal="right"/>
    </xf>
    <xf numFmtId="164" fontId="19" fillId="0" borderId="0" xfId="0" applyNumberFormat="1" applyFont="1" applyAlignment="1" applyProtection="1">
      <alignment horizontal="center"/>
    </xf>
    <xf numFmtId="1" fontId="8" fillId="0" borderId="0" xfId="0" applyNumberFormat="1" applyFont="1" applyProtection="1"/>
    <xf numFmtId="0" fontId="11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6" fillId="0" borderId="0" xfId="0" applyFont="1" applyAlignment="1" applyProtection="1">
      <alignment horizontal="center" wrapText="1"/>
    </xf>
    <xf numFmtId="2" fontId="9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left"/>
    </xf>
    <xf numFmtId="0" fontId="25" fillId="0" borderId="0" xfId="0" applyFont="1"/>
    <xf numFmtId="0" fontId="25" fillId="0" borderId="0" xfId="0" applyFont="1" applyProtection="1"/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0" xfId="0" applyFont="1"/>
    <xf numFmtId="2" fontId="9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Protection="1"/>
    <xf numFmtId="164" fontId="7" fillId="0" borderId="0" xfId="0" quotePrefix="1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left"/>
    </xf>
    <xf numFmtId="164" fontId="11" fillId="0" borderId="0" xfId="0" applyNumberFormat="1" applyFont="1" applyFill="1"/>
    <xf numFmtId="2" fontId="7" fillId="0" borderId="0" xfId="0" applyNumberFormat="1" applyFont="1" applyAlignment="1">
      <alignment horizontal="center"/>
    </xf>
    <xf numFmtId="0" fontId="28" fillId="0" borderId="0" xfId="0" applyFont="1" applyAlignment="1">
      <alignment horizontal="justify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2" fontId="16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/>
    <xf numFmtId="0" fontId="27" fillId="0" borderId="0" xfId="0" applyFont="1" applyAlignment="1">
      <alignment horizontal="center"/>
    </xf>
    <xf numFmtId="1" fontId="21" fillId="0" borderId="0" xfId="0" applyNumberFormat="1" applyFont="1" applyAlignment="1" applyProtection="1">
      <alignment horizontal="center"/>
    </xf>
    <xf numFmtId="164" fontId="19" fillId="0" borderId="2" xfId="0" applyNumberFormat="1" applyFont="1" applyBorder="1" applyAlignment="1">
      <alignment horizontal="center"/>
    </xf>
    <xf numFmtId="1" fontId="19" fillId="0" borderId="0" xfId="0" applyNumberFormat="1" applyFont="1" applyAlignment="1" applyProtection="1">
      <alignment horizontal="center"/>
    </xf>
    <xf numFmtId="166" fontId="19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19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</xf>
    <xf numFmtId="0" fontId="30" fillId="0" borderId="0" xfId="0" applyFont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" fontId="9" fillId="0" borderId="2" xfId="0" applyNumberFormat="1" applyFont="1" applyFill="1" applyBorder="1" applyAlignment="1" applyProtection="1">
      <alignment horizontal="center"/>
    </xf>
    <xf numFmtId="0" fontId="9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9" fillId="0" borderId="0" xfId="0" applyNumberFormat="1" applyFont="1" applyProtection="1"/>
    <xf numFmtId="2" fontId="11" fillId="0" borderId="0" xfId="0" applyNumberFormat="1" applyFont="1" applyProtection="1"/>
    <xf numFmtId="1" fontId="0" fillId="0" borderId="0" xfId="0" applyNumberFormat="1" applyBorder="1"/>
    <xf numFmtId="0" fontId="9" fillId="0" borderId="0" xfId="0" applyFont="1" applyBorder="1" applyAlignment="1">
      <alignment horizontal="left" wrapText="1"/>
    </xf>
    <xf numFmtId="164" fontId="9" fillId="0" borderId="2" xfId="0" applyNumberFormat="1" applyFont="1" applyBorder="1" applyAlignment="1">
      <alignment horizontal="left"/>
    </xf>
    <xf numFmtId="1" fontId="32" fillId="0" borderId="0" xfId="0" applyNumberFormat="1" applyFont="1" applyAlignment="1" applyProtection="1">
      <alignment horizontal="right"/>
    </xf>
    <xf numFmtId="0" fontId="32" fillId="0" borderId="0" xfId="0" applyFont="1" applyProtection="1"/>
    <xf numFmtId="0" fontId="33" fillId="0" borderId="0" xfId="0" applyFont="1"/>
    <xf numFmtId="1" fontId="9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64" fontId="33" fillId="0" borderId="0" xfId="0" applyNumberFormat="1" applyFont="1"/>
    <xf numFmtId="0" fontId="33" fillId="0" borderId="0" xfId="0" applyFont="1" applyProtection="1"/>
    <xf numFmtId="0" fontId="7" fillId="0" borderId="3" xfId="0" applyFont="1" applyBorder="1" applyAlignment="1">
      <alignment horizontal="centerContinuous"/>
    </xf>
    <xf numFmtId="0" fontId="11" fillId="0" borderId="0" xfId="0" applyFont="1" applyAlignment="1" applyProtection="1">
      <alignment horizontal="centerContinuous"/>
    </xf>
    <xf numFmtId="0" fontId="11" fillId="0" borderId="4" xfId="0" applyFont="1" applyBorder="1" applyAlignment="1" applyProtection="1">
      <alignment horizontal="centerContinuous"/>
    </xf>
    <xf numFmtId="0" fontId="11" fillId="0" borderId="5" xfId="0" applyFont="1" applyBorder="1" applyAlignment="1" applyProtection="1">
      <alignment horizontal="centerContinuous"/>
    </xf>
    <xf numFmtId="0" fontId="11" fillId="0" borderId="3" xfId="0" applyFont="1" applyBorder="1" applyAlignment="1" applyProtection="1">
      <alignment horizontal="centerContinuous"/>
    </xf>
    <xf numFmtId="0" fontId="11" fillId="0" borderId="7" xfId="0" applyFont="1" applyFill="1" applyBorder="1" applyProtection="1"/>
    <xf numFmtId="0" fontId="11" fillId="0" borderId="6" xfId="0" applyFont="1" applyFill="1" applyBorder="1" applyProtection="1"/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1" fontId="32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164" fontId="6" fillId="0" borderId="2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0" fontId="34" fillId="0" borderId="0" xfId="0" applyFont="1"/>
    <xf numFmtId="0" fontId="33" fillId="0" borderId="0" xfId="0" applyFont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164" fontId="33" fillId="0" borderId="2" xfId="0" applyNumberFormat="1" applyFont="1" applyBorder="1" applyAlignment="1">
      <alignment horizontal="center"/>
    </xf>
    <xf numFmtId="167" fontId="33" fillId="0" borderId="0" xfId="0" applyNumberFormat="1" applyFont="1" applyAlignment="1" applyProtection="1">
      <alignment horizontal="center"/>
    </xf>
    <xf numFmtId="0" fontId="32" fillId="0" borderId="11" xfId="0" applyFont="1" applyBorder="1" applyAlignment="1">
      <alignment horizontal="center"/>
    </xf>
    <xf numFmtId="0" fontId="33" fillId="0" borderId="0" xfId="0" applyFont="1" applyAlignment="1" applyProtection="1"/>
    <xf numFmtId="0" fontId="33" fillId="0" borderId="0" xfId="0" applyFont="1" applyFill="1"/>
    <xf numFmtId="167" fontId="33" fillId="0" borderId="0" xfId="0" applyNumberFormat="1" applyFont="1" applyFill="1" applyBorder="1" applyAlignment="1" applyProtection="1">
      <alignment horizontal="center"/>
    </xf>
    <xf numFmtId="0" fontId="33" fillId="0" borderId="0" xfId="0" applyFont="1" applyAlignment="1"/>
    <xf numFmtId="0" fontId="33" fillId="0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Protection="1"/>
    <xf numFmtId="1" fontId="6" fillId="0" borderId="2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Border="1" applyProtection="1"/>
    <xf numFmtId="0" fontId="36" fillId="0" borderId="0" xfId="0" applyFont="1" applyProtection="1"/>
    <xf numFmtId="0" fontId="36" fillId="0" borderId="0" xfId="0" applyFont="1"/>
    <xf numFmtId="1" fontId="6" fillId="0" borderId="0" xfId="0" applyNumberFormat="1" applyFont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 applyProtection="1">
      <alignment horizontal="right"/>
    </xf>
    <xf numFmtId="0" fontId="27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Border="1"/>
    <xf numFmtId="165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44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164" fontId="37" fillId="0" borderId="2" xfId="1" applyNumberFormat="1" applyFont="1" applyFill="1" applyBorder="1" applyAlignment="1" applyProtection="1">
      <alignment horizontal="center"/>
    </xf>
    <xf numFmtId="0" fontId="9" fillId="0" borderId="0" xfId="0" applyFont="1" applyFill="1"/>
    <xf numFmtId="164" fontId="0" fillId="0" borderId="0" xfId="0" applyNumberFormat="1" applyAlignment="1">
      <alignment horizontal="center"/>
    </xf>
    <xf numFmtId="2" fontId="11" fillId="0" borderId="0" xfId="0" applyNumberFormat="1" applyFont="1" applyAlignment="1" applyProtection="1"/>
    <xf numFmtId="0" fontId="11" fillId="0" borderId="0" xfId="0" applyNumberFormat="1" applyFont="1" applyProtection="1"/>
    <xf numFmtId="0" fontId="11" fillId="0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NumberFormat="1" applyFont="1"/>
    <xf numFmtId="0" fontId="0" fillId="0" borderId="0" xfId="0" applyNumberFormat="1"/>
    <xf numFmtId="164" fontId="9" fillId="0" borderId="0" xfId="0" applyNumberFormat="1" applyFont="1" applyFill="1" applyAlignment="1" applyProtection="1">
      <alignment horizontal="center"/>
    </xf>
    <xf numFmtId="164" fontId="6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6" fillId="0" borderId="0" xfId="0" applyNumberFormat="1" applyFont="1" applyBorder="1" applyAlignment="1" applyProtection="1">
      <alignment horizontal="left"/>
    </xf>
    <xf numFmtId="165" fontId="38" fillId="0" borderId="0" xfId="1" applyNumberFormat="1" applyFill="1" applyBorder="1" applyProtection="1"/>
    <xf numFmtId="166" fontId="7" fillId="0" borderId="2" xfId="0" applyNumberFormat="1" applyFont="1" applyFill="1" applyBorder="1" applyAlignment="1" applyProtection="1">
      <alignment horizontal="center"/>
    </xf>
    <xf numFmtId="0" fontId="37" fillId="0" borderId="2" xfId="1" applyFont="1" applyFill="1" applyBorder="1" applyAlignment="1" applyProtection="1">
      <alignment horizontal="center"/>
    </xf>
    <xf numFmtId="166" fontId="11" fillId="0" borderId="0" xfId="0" applyNumberFormat="1" applyFont="1" applyFill="1" applyBorder="1" applyProtection="1"/>
    <xf numFmtId="166" fontId="11" fillId="0" borderId="0" xfId="0" applyNumberFormat="1" applyFont="1" applyProtection="1"/>
    <xf numFmtId="1" fontId="11" fillId="0" borderId="0" xfId="0" applyNumberFormat="1" applyFont="1" applyFill="1" applyBorder="1" applyAlignment="1" applyProtection="1">
      <alignment horizontal="center"/>
    </xf>
    <xf numFmtId="44" fontId="11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1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Border="1" applyAlignment="1" applyProtection="1">
      <alignment horizontal="center"/>
    </xf>
    <xf numFmtId="0" fontId="33" fillId="0" borderId="0" xfId="0" applyFont="1" applyBorder="1"/>
    <xf numFmtId="0" fontId="33" fillId="0" borderId="0" xfId="0" applyFont="1" applyFill="1" applyBorder="1"/>
    <xf numFmtId="0" fontId="32" fillId="0" borderId="0" xfId="0" applyFont="1" applyBorder="1" applyAlignment="1" applyProtection="1">
      <alignment horizontal="center"/>
    </xf>
    <xf numFmtId="1" fontId="32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64" fontId="3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2" fontId="33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 wrapText="1"/>
    </xf>
    <xf numFmtId="0" fontId="31" fillId="0" borderId="2" xfId="3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1" fillId="0" borderId="2" xfId="3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43" fillId="0" borderId="0" xfId="0" applyFont="1"/>
    <xf numFmtId="1" fontId="33" fillId="0" borderId="0" xfId="0" applyNumberFormat="1" applyFont="1" applyAlignment="1">
      <alignment horizontal="center"/>
    </xf>
    <xf numFmtId="164" fontId="40" fillId="0" borderId="2" xfId="1" applyNumberFormat="1" applyFont="1" applyFill="1" applyBorder="1" applyAlignment="1" applyProtection="1">
      <alignment horizontal="center"/>
    </xf>
    <xf numFmtId="2" fontId="7" fillId="0" borderId="0" xfId="0" applyNumberFormat="1" applyFont="1" applyFill="1" applyAlignment="1" applyProtection="1">
      <alignment horizontal="center"/>
    </xf>
    <xf numFmtId="165" fontId="6" fillId="0" borderId="0" xfId="0" applyNumberFormat="1" applyFont="1" applyFill="1" applyBorder="1" applyProtection="1"/>
    <xf numFmtId="2" fontId="6" fillId="0" borderId="0" xfId="0" applyNumberFormat="1" applyFont="1"/>
    <xf numFmtId="165" fontId="37" fillId="0" borderId="0" xfId="1" applyNumberFormat="1" applyFont="1" applyFill="1" applyBorder="1" applyProtection="1"/>
    <xf numFmtId="0" fontId="33" fillId="0" borderId="0" xfId="0" applyFont="1" applyFill="1" applyBorder="1" applyAlignment="1">
      <alignment horizontal="center"/>
    </xf>
    <xf numFmtId="2" fontId="0" fillId="0" borderId="2" xfId="0" applyNumberForma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Fill="1" applyAlignment="1" applyProtection="1">
      <alignment horizontal="center"/>
    </xf>
    <xf numFmtId="0" fontId="32" fillId="0" borderId="0" xfId="0" applyFont="1" applyFill="1" applyBorder="1" applyProtection="1"/>
    <xf numFmtId="0" fontId="12" fillId="0" borderId="0" xfId="0" applyFont="1" applyAlignment="1">
      <alignment horizontal="left"/>
    </xf>
    <xf numFmtId="0" fontId="33" fillId="0" borderId="0" xfId="0" applyFont="1" applyBorder="1" applyAlignment="1">
      <alignment horizontal="left" wrapText="1"/>
    </xf>
    <xf numFmtId="2" fontId="6" fillId="0" borderId="2" xfId="0" applyNumberFormat="1" applyFont="1" applyBorder="1" applyAlignment="1" applyProtection="1">
      <alignment horizontal="center"/>
    </xf>
    <xf numFmtId="1" fontId="33" fillId="0" borderId="0" xfId="0" applyNumberFormat="1" applyFont="1" applyBorder="1" applyAlignment="1" applyProtection="1">
      <alignment horizontal="left"/>
    </xf>
    <xf numFmtId="2" fontId="6" fillId="0" borderId="0" xfId="0" applyNumberFormat="1" applyFont="1" applyBorder="1" applyAlignment="1" applyProtection="1">
      <alignment horizontal="left"/>
    </xf>
    <xf numFmtId="0" fontId="6" fillId="0" borderId="0" xfId="0" applyFont="1" applyFill="1" applyBorder="1"/>
    <xf numFmtId="164" fontId="6" fillId="0" borderId="0" xfId="0" applyNumberFormat="1" applyFont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" wrapText="1"/>
    </xf>
    <xf numFmtId="164" fontId="4" fillId="0" borderId="2" xfId="1" applyNumberFormat="1" applyFont="1" applyFill="1" applyBorder="1" applyAlignment="1" applyProtection="1">
      <alignment horizontal="center"/>
    </xf>
    <xf numFmtId="164" fontId="3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1" fillId="0" borderId="0" xfId="0" applyFont="1" applyAlignment="1"/>
    <xf numFmtId="0" fontId="41" fillId="0" borderId="0" xfId="0" applyFont="1"/>
    <xf numFmtId="0" fontId="41" fillId="0" borderId="2" xfId="0" applyFont="1" applyBorder="1" applyAlignment="1"/>
    <xf numFmtId="0" fontId="6" fillId="0" borderId="2" xfId="0" applyFont="1" applyBorder="1" applyAlignment="1"/>
    <xf numFmtId="0" fontId="0" fillId="0" borderId="2" xfId="0" applyBorder="1" applyAlignment="1"/>
    <xf numFmtId="0" fontId="33" fillId="0" borderId="2" xfId="0" applyFont="1" applyBorder="1" applyAlignment="1"/>
    <xf numFmtId="164" fontId="9" fillId="0" borderId="0" xfId="0" applyNumberFormat="1" applyFont="1" applyAlignment="1">
      <alignment horizontal="center"/>
    </xf>
    <xf numFmtId="2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Alignment="1">
      <alignment horizontal="right"/>
    </xf>
    <xf numFmtId="164" fontId="37" fillId="0" borderId="2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12"/>
    </xf>
    <xf numFmtId="0" fontId="6" fillId="0" borderId="0" xfId="0" applyFont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2" fontId="0" fillId="0" borderId="6" xfId="0" applyNumberFormat="1" applyBorder="1"/>
    <xf numFmtId="2" fontId="7" fillId="0" borderId="9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/>
    <xf numFmtId="2" fontId="0" fillId="0" borderId="0" xfId="0" applyNumberFormat="1"/>
    <xf numFmtId="2" fontId="10" fillId="0" borderId="0" xfId="0" applyNumberFormat="1" applyFont="1" applyFill="1" applyAlignment="1" applyProtection="1">
      <alignment horizontal="center"/>
    </xf>
    <xf numFmtId="0" fontId="44" fillId="0" borderId="0" xfId="0" applyFont="1" applyFill="1" applyAlignment="1" applyProtection="1">
      <alignment horizontal="center"/>
    </xf>
    <xf numFmtId="0" fontId="44" fillId="0" borderId="0" xfId="0" applyFont="1" applyFill="1" applyAlignment="1">
      <alignment horizontal="center"/>
    </xf>
    <xf numFmtId="2" fontId="44" fillId="0" borderId="0" xfId="0" applyNumberFormat="1" applyFont="1" applyFill="1" applyAlignment="1" applyProtection="1">
      <alignment horizontal="center"/>
    </xf>
    <xf numFmtId="0" fontId="45" fillId="0" borderId="0" xfId="0" applyFont="1" applyFill="1" applyAlignment="1">
      <alignment horizontal="center"/>
    </xf>
    <xf numFmtId="164" fontId="46" fillId="0" borderId="2" xfId="1" applyNumberFormat="1" applyFont="1" applyFill="1" applyBorder="1" applyAlignment="1" applyProtection="1">
      <alignment horizontal="center"/>
    </xf>
    <xf numFmtId="0" fontId="37" fillId="0" borderId="0" xfId="1" applyFont="1" applyFill="1" applyBorder="1"/>
    <xf numFmtId="0" fontId="47" fillId="0" borderId="0" xfId="0" applyFont="1" applyBorder="1"/>
    <xf numFmtId="0" fontId="47" fillId="0" borderId="0" xfId="0" applyFont="1" applyBorder="1" applyAlignment="1">
      <alignment horizontal="center"/>
    </xf>
    <xf numFmtId="170" fontId="6" fillId="0" borderId="0" xfId="0" applyNumberFormat="1" applyFont="1" applyAlignment="1" applyProtection="1">
      <alignment horizontal="center"/>
    </xf>
    <xf numFmtId="170" fontId="9" fillId="0" borderId="0" xfId="0" applyNumberFormat="1" applyFont="1" applyAlignment="1" applyProtection="1">
      <alignment horizontal="center"/>
    </xf>
    <xf numFmtId="0" fontId="31" fillId="0" borderId="0" xfId="3" applyFont="1" applyBorder="1" applyAlignment="1">
      <alignment horizontal="left" wrapText="1"/>
    </xf>
    <xf numFmtId="0" fontId="46" fillId="0" borderId="2" xfId="0" applyFont="1" applyBorder="1" applyAlignment="1">
      <alignment horizontal="left" wrapText="1"/>
    </xf>
    <xf numFmtId="0" fontId="38" fillId="0" borderId="2" xfId="1" applyFont="1" applyFill="1" applyBorder="1" applyAlignment="1" applyProtection="1">
      <alignment horizontal="center"/>
    </xf>
    <xf numFmtId="0" fontId="51" fillId="0" borderId="0" xfId="0" applyFont="1" applyFill="1" applyAlignment="1" applyProtection="1">
      <alignment horizontal="center"/>
    </xf>
    <xf numFmtId="0" fontId="52" fillId="0" borderId="0" xfId="0" applyFont="1" applyAlignment="1">
      <alignment horizontal="left"/>
    </xf>
    <xf numFmtId="0" fontId="53" fillId="0" borderId="0" xfId="0" applyFont="1"/>
    <xf numFmtId="0" fontId="52" fillId="0" borderId="0" xfId="0" applyFont="1"/>
    <xf numFmtId="0" fontId="54" fillId="0" borderId="0" xfId="0" applyFont="1"/>
    <xf numFmtId="0" fontId="52" fillId="0" borderId="0" xfId="0" applyFont="1" applyProtection="1"/>
    <xf numFmtId="0" fontId="53" fillId="0" borderId="0" xfId="0" applyFont="1" applyAlignment="1">
      <alignment horizontal="left"/>
    </xf>
    <xf numFmtId="0" fontId="40" fillId="0" borderId="0" xfId="1" applyFont="1" applyFill="1" applyAlignment="1" applyProtection="1">
      <alignment horizontal="center"/>
    </xf>
    <xf numFmtId="0" fontId="33" fillId="0" borderId="0" xfId="0" applyFont="1" applyFill="1" applyBorder="1" applyProtection="1"/>
    <xf numFmtId="2" fontId="55" fillId="0" borderId="0" xfId="0" applyNumberFormat="1" applyFont="1" applyFill="1" applyBorder="1" applyAlignment="1" applyProtection="1">
      <alignment horizontal="center"/>
    </xf>
    <xf numFmtId="2" fontId="28" fillId="0" borderId="0" xfId="0" applyNumberFormat="1" applyFont="1" applyAlignment="1"/>
    <xf numFmtId="2" fontId="29" fillId="0" borderId="0" xfId="0" applyNumberFormat="1" applyFont="1" applyAlignment="1"/>
    <xf numFmtId="0" fontId="40" fillId="0" borderId="2" xfId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37" fillId="0" borderId="0" xfId="1" applyFont="1" applyFill="1" applyAlignment="1" applyProtection="1">
      <alignment horizontal="center"/>
    </xf>
    <xf numFmtId="2" fontId="37" fillId="0" borderId="0" xfId="1" applyNumberFormat="1" applyFont="1" applyFill="1" applyBorder="1" applyAlignment="1">
      <alignment horizontal="center"/>
    </xf>
    <xf numFmtId="164" fontId="37" fillId="0" borderId="2" xfId="1" applyNumberFormat="1" applyFont="1" applyFill="1" applyBorder="1" applyAlignment="1">
      <alignment horizontal="center" vertical="top" wrapText="1"/>
    </xf>
    <xf numFmtId="164" fontId="1" fillId="0" borderId="2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6" fillId="0" borderId="0" xfId="0" applyNumberFormat="1" applyFont="1" applyAlignment="1">
      <alignment horizontal="center"/>
    </xf>
    <xf numFmtId="170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37" fillId="0" borderId="11" xfId="1" applyNumberFormat="1" applyFont="1" applyFill="1" applyBorder="1" applyAlignment="1">
      <alignment horizontal="center"/>
    </xf>
    <xf numFmtId="0" fontId="37" fillId="0" borderId="11" xfId="1" applyFont="1" applyFill="1" applyBorder="1" applyAlignment="1">
      <alignment horizontal="left" wrapText="1"/>
    </xf>
    <xf numFmtId="0" fontId="6" fillId="0" borderId="2" xfId="0" applyFont="1" applyBorder="1"/>
    <xf numFmtId="0" fontId="50" fillId="0" borderId="0" xfId="0" applyFont="1"/>
    <xf numFmtId="0" fontId="56" fillId="0" borderId="0" xfId="0" applyFont="1" applyAlignment="1" applyProtection="1">
      <alignment horizontal="left"/>
    </xf>
    <xf numFmtId="0" fontId="56" fillId="0" borderId="0" xfId="0" applyFont="1" applyProtection="1"/>
    <xf numFmtId="0" fontId="48" fillId="0" borderId="0" xfId="0" applyFont="1" applyBorder="1" applyAlignment="1" applyProtection="1">
      <alignment horizontal="left"/>
    </xf>
    <xf numFmtId="0" fontId="48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1" fontId="7" fillId="0" borderId="0" xfId="0" applyNumberFormat="1" applyFont="1" applyBorder="1" applyAlignment="1" applyProtection="1"/>
    <xf numFmtId="1" fontId="10" fillId="0" borderId="0" xfId="0" applyNumberFormat="1" applyFont="1" applyBorder="1" applyAlignment="1" applyProtection="1"/>
    <xf numFmtId="1" fontId="7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46" fillId="0" borderId="0" xfId="1" applyFont="1" applyFill="1" applyBorder="1" applyAlignment="1"/>
    <xf numFmtId="0" fontId="46" fillId="0" borderId="2" xfId="3" applyFont="1" applyBorder="1" applyAlignment="1">
      <alignment horizontal="left" wrapText="1"/>
    </xf>
    <xf numFmtId="0" fontId="46" fillId="0" borderId="2" xfId="0" applyFont="1" applyBorder="1" applyAlignment="1">
      <alignment horizontal="center" wrapText="1"/>
    </xf>
    <xf numFmtId="0" fontId="46" fillId="0" borderId="2" xfId="3" applyFont="1" applyBorder="1" applyAlignment="1">
      <alignment horizontal="center" wrapText="1"/>
    </xf>
    <xf numFmtId="0" fontId="57" fillId="0" borderId="2" xfId="0" applyFont="1" applyBorder="1" applyAlignment="1">
      <alignment horizontal="left" wrapText="1"/>
    </xf>
    <xf numFmtId="0" fontId="57" fillId="0" borderId="2" xfId="0" applyFont="1" applyBorder="1" applyAlignment="1">
      <alignment horizontal="center" wrapText="1"/>
    </xf>
    <xf numFmtId="0" fontId="52" fillId="0" borderId="0" xfId="0" applyFont="1" applyAlignment="1">
      <alignment horizontal="left" wrapText="1"/>
    </xf>
    <xf numFmtId="0" fontId="57" fillId="0" borderId="2" xfId="3" applyFont="1" applyBorder="1" applyAlignment="1">
      <alignment horizontal="left" wrapText="1"/>
    </xf>
    <xf numFmtId="0" fontId="37" fillId="0" borderId="2" xfId="1" applyFont="1" applyFill="1" applyBorder="1" applyAlignment="1">
      <alignment horizontal="center"/>
    </xf>
    <xf numFmtId="0" fontId="57" fillId="0" borderId="2" xfId="3" applyFont="1" applyBorder="1" applyAlignment="1">
      <alignment horizontal="center" wrapText="1"/>
    </xf>
    <xf numFmtId="164" fontId="58" fillId="0" borderId="2" xfId="0" applyNumberFormat="1" applyFont="1" applyBorder="1" applyAlignment="1">
      <alignment horizontal="center"/>
    </xf>
    <xf numFmtId="164" fontId="58" fillId="0" borderId="13" xfId="0" applyNumberFormat="1" applyFont="1" applyBorder="1" applyAlignment="1">
      <alignment horizontal="center"/>
    </xf>
    <xf numFmtId="164" fontId="58" fillId="0" borderId="12" xfId="0" applyNumberFormat="1" applyFont="1" applyBorder="1" applyAlignment="1">
      <alignment horizontal="center"/>
    </xf>
    <xf numFmtId="164" fontId="58" fillId="0" borderId="14" xfId="0" applyNumberFormat="1" applyFont="1" applyBorder="1" applyAlignment="1">
      <alignment horizontal="center"/>
    </xf>
    <xf numFmtId="2" fontId="40" fillId="0" borderId="0" xfId="1" applyNumberFormat="1" applyFont="1" applyFill="1" applyBorder="1" applyAlignment="1">
      <alignment horizontal="center"/>
    </xf>
    <xf numFmtId="0" fontId="15" fillId="0" borderId="0" xfId="0" applyFont="1" applyAlignment="1" applyProtection="1"/>
    <xf numFmtId="2" fontId="40" fillId="0" borderId="0" xfId="1" applyNumberFormat="1" applyFont="1" applyFill="1" applyBorder="1" applyAlignment="1">
      <alignment horizontal="right"/>
    </xf>
    <xf numFmtId="164" fontId="7" fillId="0" borderId="0" xfId="0" applyNumberFormat="1" applyFont="1"/>
    <xf numFmtId="2" fontId="12" fillId="0" borderId="0" xfId="0" applyNumberFormat="1" applyFont="1" applyProtection="1"/>
    <xf numFmtId="2" fontId="7" fillId="0" borderId="0" xfId="0" applyNumberFormat="1" applyFont="1" applyProtection="1"/>
    <xf numFmtId="2" fontId="10" fillId="0" borderId="0" xfId="0" applyNumberFormat="1" applyFont="1" applyFill="1" applyBorder="1" applyAlignment="1" applyProtection="1">
      <alignment horizontal="center" wrapText="1"/>
    </xf>
    <xf numFmtId="164" fontId="37" fillId="0" borderId="2" xfId="1" applyNumberFormat="1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59" fillId="0" borderId="0" xfId="0" applyNumberFormat="1" applyFont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" fontId="58" fillId="3" borderId="2" xfId="0" applyNumberFormat="1" applyFont="1" applyFill="1" applyBorder="1" applyAlignment="1">
      <alignment horizontal="center"/>
    </xf>
    <xf numFmtId="1" fontId="58" fillId="3" borderId="12" xfId="0" applyNumberFormat="1" applyFont="1" applyFill="1" applyBorder="1" applyAlignment="1">
      <alignment horizontal="center"/>
    </xf>
    <xf numFmtId="2" fontId="58" fillId="3" borderId="12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0" fontId="59" fillId="0" borderId="0" xfId="0" applyFont="1" applyAlignment="1">
      <alignment horizontal="center" wrapText="1"/>
    </xf>
    <xf numFmtId="2" fontId="6" fillId="3" borderId="2" xfId="0" applyNumberFormat="1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70" fontId="6" fillId="0" borderId="12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59" fillId="0" borderId="0" xfId="0" applyFont="1" applyAlignment="1">
      <alignment horizontal="center" vertical="center"/>
    </xf>
    <xf numFmtId="167" fontId="60" fillId="0" borderId="0" xfId="0" applyNumberFormat="1" applyFont="1" applyAlignment="1">
      <alignment horizontal="center"/>
    </xf>
    <xf numFmtId="164" fontId="60" fillId="0" borderId="0" xfId="0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0" fontId="62" fillId="0" borderId="2" xfId="0" applyFont="1" applyBorder="1"/>
    <xf numFmtId="0" fontId="6" fillId="0" borderId="13" xfId="0" applyFont="1" applyBorder="1"/>
    <xf numFmtId="0" fontId="6" fillId="0" borderId="11" xfId="0" applyFont="1" applyBorder="1"/>
    <xf numFmtId="0" fontId="12" fillId="0" borderId="0" xfId="0" applyFont="1"/>
    <xf numFmtId="2" fontId="58" fillId="0" borderId="2" xfId="0" applyNumberFormat="1" applyFont="1" applyBorder="1" applyAlignment="1">
      <alignment horizontal="center"/>
    </xf>
    <xf numFmtId="2" fontId="58" fillId="0" borderId="13" xfId="0" applyNumberFormat="1" applyFont="1" applyBorder="1" applyAlignment="1">
      <alignment horizontal="center"/>
    </xf>
    <xf numFmtId="2" fontId="58" fillId="0" borderId="12" xfId="0" applyNumberFormat="1" applyFont="1" applyBorder="1" applyAlignment="1">
      <alignment horizontal="center"/>
    </xf>
    <xf numFmtId="2" fontId="58" fillId="0" borderId="14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2" fontId="6" fillId="0" borderId="12" xfId="0" applyNumberFormat="1" applyFont="1" applyBorder="1"/>
    <xf numFmtId="2" fontId="6" fillId="0" borderId="13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6" fillId="0" borderId="12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2" fontId="60" fillId="0" borderId="14" xfId="0" applyNumberFormat="1" applyFont="1" applyBorder="1"/>
    <xf numFmtId="164" fontId="61" fillId="0" borderId="14" xfId="0" applyNumberFormat="1" applyFont="1" applyBorder="1" applyAlignment="1">
      <alignment horizontal="center"/>
    </xf>
    <xf numFmtId="2" fontId="61" fillId="0" borderId="12" xfId="0" applyNumberFormat="1" applyFont="1" applyBorder="1" applyAlignment="1">
      <alignment horizontal="center"/>
    </xf>
    <xf numFmtId="2" fontId="61" fillId="0" borderId="14" xfId="0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59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2" fontId="63" fillId="0" borderId="12" xfId="0" applyNumberFormat="1" applyFont="1" applyBorder="1" applyAlignment="1">
      <alignment horizontal="center"/>
    </xf>
    <xf numFmtId="2" fontId="63" fillId="0" borderId="14" xfId="0" applyNumberFormat="1" applyFont="1" applyBorder="1" applyAlignment="1">
      <alignment horizontal="center"/>
    </xf>
    <xf numFmtId="2" fontId="58" fillId="4" borderId="12" xfId="0" applyNumberFormat="1" applyFont="1" applyFill="1" applyBorder="1" applyAlignment="1">
      <alignment horizontal="center"/>
    </xf>
    <xf numFmtId="2" fontId="58" fillId="4" borderId="14" xfId="0" applyNumberFormat="1" applyFont="1" applyFill="1" applyBorder="1" applyAlignment="1">
      <alignment horizontal="center"/>
    </xf>
    <xf numFmtId="2" fontId="58" fillId="5" borderId="12" xfId="0" applyNumberFormat="1" applyFont="1" applyFill="1" applyBorder="1" applyAlignment="1">
      <alignment horizontal="center"/>
    </xf>
    <xf numFmtId="2" fontId="6" fillId="5" borderId="14" xfId="0" applyNumberFormat="1" applyFont="1" applyFill="1" applyBorder="1" applyAlignment="1">
      <alignment horizontal="center"/>
    </xf>
    <xf numFmtId="2" fontId="6" fillId="4" borderId="14" xfId="0" applyNumberFormat="1" applyFont="1" applyFill="1" applyBorder="1" applyAlignment="1">
      <alignment horizontal="center"/>
    </xf>
    <xf numFmtId="2" fontId="58" fillId="5" borderId="14" xfId="0" applyNumberFormat="1" applyFont="1" applyFill="1" applyBorder="1" applyAlignment="1">
      <alignment horizontal="center"/>
    </xf>
    <xf numFmtId="2" fontId="58" fillId="0" borderId="12" xfId="0" applyNumberFormat="1" applyFont="1" applyFill="1" applyBorder="1" applyAlignment="1">
      <alignment horizontal="center"/>
    </xf>
    <xf numFmtId="2" fontId="58" fillId="0" borderId="14" xfId="0" applyNumberFormat="1" applyFont="1" applyFill="1" applyBorder="1" applyAlignment="1">
      <alignment horizontal="center"/>
    </xf>
    <xf numFmtId="0" fontId="49" fillId="0" borderId="0" xfId="3" applyFont="1" applyBorder="1" applyAlignment="1"/>
    <xf numFmtId="0" fontId="49" fillId="0" borderId="0" xfId="3" applyFont="1" applyBorder="1" applyAlignment="1">
      <alignment wrapText="1"/>
    </xf>
    <xf numFmtId="0" fontId="49" fillId="0" borderId="0" xfId="3" applyFont="1" applyBorder="1" applyAlignment="1">
      <alignment vertical="center" wrapText="1"/>
    </xf>
    <xf numFmtId="0" fontId="50" fillId="0" borderId="0" xfId="1" applyFont="1" applyFill="1" applyBorder="1" applyAlignment="1"/>
    <xf numFmtId="0" fontId="4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48" fillId="0" borderId="0" xfId="0" applyFont="1" applyBorder="1" applyAlignment="1" applyProtection="1">
      <alignment horizontal="left" wrapText="1"/>
    </xf>
  </cellXfs>
  <cellStyles count="5">
    <cellStyle name="Bad" xfId="1" builtinId="27"/>
    <cellStyle name="Currency" xfId="2" builtinId="4"/>
    <cellStyle name="Normal" xfId="0" builtinId="0"/>
    <cellStyle name="Normal 2" xfId="3"/>
    <cellStyle name="Normal 3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34</xdr:row>
      <xdr:rowOff>9525</xdr:rowOff>
    </xdr:from>
    <xdr:to>
      <xdr:col>36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66"/>
  <sheetViews>
    <sheetView tabSelected="1" zoomScale="70" zoomScaleNormal="70" zoomScalePageLayoutView="125" workbookViewId="0">
      <selection activeCell="H21" sqref="H21"/>
    </sheetView>
  </sheetViews>
  <sheetFormatPr defaultColWidth="8.88671875" defaultRowHeight="13.2"/>
  <cols>
    <col min="1" max="1" width="53.44140625" customWidth="1"/>
    <col min="2" max="2" width="14.88671875" customWidth="1"/>
    <col min="3" max="3" width="11.88671875" style="3" customWidth="1"/>
    <col min="4" max="4" width="10.44140625" customWidth="1"/>
    <col min="5" max="5" width="12.88671875" customWidth="1"/>
    <col min="6" max="6" width="12.44140625" customWidth="1"/>
    <col min="8" max="8" width="11.44140625" customWidth="1"/>
    <col min="9" max="9" width="15.33203125" customWidth="1"/>
    <col min="10" max="10" width="15.44140625" style="198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  <col min="16" max="16" width="15.44140625" customWidth="1"/>
  </cols>
  <sheetData>
    <row r="1" spans="1:19" ht="17.399999999999999">
      <c r="A1" s="7" t="s">
        <v>201</v>
      </c>
      <c r="B1" s="6"/>
      <c r="C1" s="18"/>
      <c r="D1" s="6"/>
      <c r="E1" s="6"/>
      <c r="F1" s="10" t="s">
        <v>181</v>
      </c>
      <c r="G1" s="38"/>
      <c r="H1" s="6"/>
      <c r="I1" s="6"/>
      <c r="J1" s="197"/>
      <c r="K1" s="132" t="s">
        <v>98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49</v>
      </c>
      <c r="F2" s="5" t="s">
        <v>42</v>
      </c>
      <c r="G2" s="38"/>
      <c r="H2" s="6"/>
      <c r="I2" s="6"/>
      <c r="J2" s="79" t="s">
        <v>97</v>
      </c>
      <c r="K2" s="5" t="s">
        <v>87</v>
      </c>
      <c r="L2" s="5" t="s">
        <v>44</v>
      </c>
      <c r="M2" s="10" t="s">
        <v>47</v>
      </c>
      <c r="N2" s="10" t="s">
        <v>67</v>
      </c>
      <c r="O2" s="38" t="s">
        <v>95</v>
      </c>
      <c r="P2" s="25"/>
    </row>
    <row r="3" spans="1:19">
      <c r="A3" s="6"/>
      <c r="B3" s="5" t="s">
        <v>6</v>
      </c>
      <c r="C3" s="5" t="s">
        <v>48</v>
      </c>
      <c r="D3" s="5" t="s">
        <v>69</v>
      </c>
      <c r="E3" s="5" t="s">
        <v>3</v>
      </c>
      <c r="F3" s="36" t="s">
        <v>43</v>
      </c>
      <c r="G3" s="5" t="s">
        <v>4</v>
      </c>
      <c r="H3" s="5" t="s">
        <v>37</v>
      </c>
      <c r="I3" s="2" t="s">
        <v>38</v>
      </c>
      <c r="J3" s="17" t="s">
        <v>86</v>
      </c>
      <c r="K3" s="5" t="s">
        <v>2</v>
      </c>
      <c r="L3" s="5" t="s">
        <v>45</v>
      </c>
      <c r="M3" s="5" t="s">
        <v>3</v>
      </c>
      <c r="N3" s="5" t="s">
        <v>66</v>
      </c>
      <c r="O3" s="5" t="s">
        <v>96</v>
      </c>
      <c r="S3" s="5"/>
    </row>
    <row r="4" spans="1:19" ht="14.4">
      <c r="A4" s="319" t="s">
        <v>190</v>
      </c>
      <c r="B4" s="59">
        <f>Paper!C68</f>
        <v>88.86</v>
      </c>
      <c r="C4" s="59">
        <f>Static!B5</f>
        <v>50</v>
      </c>
      <c r="D4" s="274">
        <f>MSRP!L7</f>
        <v>35.030436707218414</v>
      </c>
      <c r="E4" s="59">
        <f>'Subjective Handling '!R4</f>
        <v>38.3125</v>
      </c>
      <c r="F4" s="79">
        <f>'Fuel Economy-Endurance  '!E10</f>
        <v>168.35106382978722</v>
      </c>
      <c r="G4" s="59">
        <f>Oral!AL4</f>
        <v>66.727272727272734</v>
      </c>
      <c r="H4" s="59">
        <f>Noise!G5</f>
        <v>160.91428571428571</v>
      </c>
      <c r="I4" s="251">
        <f>Acceleration!E5</f>
        <v>23.273657289002557</v>
      </c>
      <c r="J4" s="250">
        <f>'Lab Emissions'!K5+'Lab Emissions'!O5</f>
        <v>266.06</v>
      </c>
      <c r="K4" s="250">
        <f>'In Service Emissions'!C6+'In Service Emissions'!I6</f>
        <v>80.254463606409828</v>
      </c>
      <c r="L4" s="250">
        <f>'Cold Start'!C4:C16</f>
        <v>50</v>
      </c>
      <c r="M4" s="250">
        <f>'Objective Handling'!E6</f>
        <v>25.59288537549412</v>
      </c>
      <c r="N4" s="250">
        <f>'Penalties and Bonuses'!J4</f>
        <v>100</v>
      </c>
      <c r="O4" s="207">
        <f>'Vehicle Weights'!G4</f>
        <v>0</v>
      </c>
      <c r="S4" s="59"/>
    </row>
    <row r="5" spans="1:19" ht="14.4">
      <c r="A5" s="319" t="s">
        <v>191</v>
      </c>
      <c r="B5" s="59">
        <f>Paper!D68</f>
        <v>67.319444444444443</v>
      </c>
      <c r="C5" s="59">
        <f>Static!B6</f>
        <v>50</v>
      </c>
      <c r="D5" s="274">
        <f>MSRP!L8</f>
        <v>20</v>
      </c>
      <c r="E5" s="59">
        <f>'Subjective Handling '!R5</f>
        <v>41.65</v>
      </c>
      <c r="F5" s="79">
        <f>'Fuel Economy-Endurance  '!E11</f>
        <v>119.14893617021278</v>
      </c>
      <c r="G5" s="59">
        <f>Oral!AL5</f>
        <v>62.787878787878789</v>
      </c>
      <c r="H5" s="59">
        <f>Noise!G6</f>
        <v>54.75714285714286</v>
      </c>
      <c r="I5" s="251">
        <f>Acceleration!E6</f>
        <v>50</v>
      </c>
      <c r="J5" s="250">
        <f>'Lab Emissions'!K6+'Lab Emissions'!O6</f>
        <v>218.79</v>
      </c>
      <c r="K5" s="250">
        <f>'In Service Emissions'!C7+'In Service Emissions'!I7</f>
        <v>63.778047043295885</v>
      </c>
      <c r="L5" s="250">
        <f>'Cold Start'!C5:C17</f>
        <v>50</v>
      </c>
      <c r="M5" s="250">
        <f>'Objective Handling'!E7</f>
        <v>63.784584980237184</v>
      </c>
      <c r="N5" s="250">
        <f>'Penalties and Bonuses'!J5</f>
        <v>0</v>
      </c>
      <c r="O5" s="207">
        <f>'Vehicle Weights'!G5</f>
        <v>0</v>
      </c>
      <c r="S5" s="59"/>
    </row>
    <row r="6" spans="1:19" ht="14.4">
      <c r="A6" s="319" t="s">
        <v>192</v>
      </c>
      <c r="B6" s="59">
        <f>Paper!E68</f>
        <v>87.354166666666671</v>
      </c>
      <c r="C6" s="59">
        <f>Static!B7</f>
        <v>50</v>
      </c>
      <c r="D6" s="274">
        <f>MSRP!L9</f>
        <v>39.063178300489973</v>
      </c>
      <c r="E6" s="59">
        <f>'Subjective Handling '!R6</f>
        <v>45.766666666666673</v>
      </c>
      <c r="F6" s="79">
        <f>'Fuel Economy-Endurance  '!E12</f>
        <v>156.38297872340425</v>
      </c>
      <c r="G6" s="59">
        <f>Oral!AL6</f>
        <v>71.439393939393938</v>
      </c>
      <c r="H6" s="59">
        <f>Noise!G7</f>
        <v>144.84285714285716</v>
      </c>
      <c r="I6" s="251">
        <f>Acceleration!E7</f>
        <v>47.186700767263432</v>
      </c>
      <c r="J6" s="250">
        <f>'Lab Emissions'!K7+'Lab Emissions'!O7</f>
        <v>304.7</v>
      </c>
      <c r="K6" s="250">
        <f>'In Service Emissions'!C8+'In Service Emissions'!I8</f>
        <v>74.076074807929189</v>
      </c>
      <c r="L6" s="250">
        <f>'Cold Start'!C6:C18</f>
        <v>50</v>
      </c>
      <c r="M6" s="250">
        <f>'Objective Handling'!E8</f>
        <v>75.000000000000028</v>
      </c>
      <c r="N6" s="250">
        <f>'Penalties and Bonuses'!J6</f>
        <v>100</v>
      </c>
      <c r="O6" s="207">
        <f>'Vehicle Weights'!G6</f>
        <v>0</v>
      </c>
      <c r="S6" s="59"/>
    </row>
    <row r="7" spans="1:19" s="167" customFormat="1" ht="14.4">
      <c r="A7" s="432" t="s">
        <v>213</v>
      </c>
      <c r="B7" s="59">
        <f>Paper!F68</f>
        <v>49.487499999999997</v>
      </c>
      <c r="C7" s="59">
        <f>Static!B8</f>
        <v>0</v>
      </c>
      <c r="D7" s="274">
        <f>MSRP!L10</f>
        <v>7.304504449498566</v>
      </c>
      <c r="E7" s="59">
        <f>'Subjective Handling '!R7</f>
        <v>0</v>
      </c>
      <c r="F7" s="79">
        <f>'Fuel Economy-Endurance  '!E13</f>
        <v>0</v>
      </c>
      <c r="G7" s="59">
        <f>Oral!AL7</f>
        <v>0</v>
      </c>
      <c r="H7" s="59">
        <f>Noise!G8</f>
        <v>0</v>
      </c>
      <c r="I7" s="251">
        <f>Acceleration!E8</f>
        <v>0</v>
      </c>
      <c r="J7" s="250">
        <f>'Lab Emissions'!K8+'Lab Emissions'!O8</f>
        <v>0</v>
      </c>
      <c r="K7" s="250">
        <f>'In Service Emissions'!C9+'In Service Emissions'!I9</f>
        <v>0</v>
      </c>
      <c r="L7" s="250">
        <f>'Cold Start'!C7:C19</f>
        <v>0</v>
      </c>
      <c r="M7" s="250">
        <f>'Objective Handling'!E9</f>
        <v>0</v>
      </c>
      <c r="N7" s="250">
        <f>'Penalties and Bonuses'!J7</f>
        <v>0</v>
      </c>
      <c r="O7" s="207">
        <f>'Vehicle Weights'!G7</f>
        <v>0</v>
      </c>
      <c r="S7" s="250"/>
    </row>
    <row r="8" spans="1:19" s="167" customFormat="1" ht="14.4">
      <c r="A8" s="319" t="s">
        <v>193</v>
      </c>
      <c r="B8" s="59">
        <f>Paper!G68</f>
        <v>78.861111111111114</v>
      </c>
      <c r="C8" s="59">
        <f>Static!B9</f>
        <v>50</v>
      </c>
      <c r="D8" s="274">
        <f>MSRP!L11</f>
        <v>32.866927174759205</v>
      </c>
      <c r="E8" s="59">
        <f>'Subjective Handling '!R8</f>
        <v>38.125</v>
      </c>
      <c r="F8" s="79">
        <f>'Fuel Economy-Endurance  '!E14</f>
        <v>170.21276595744683</v>
      </c>
      <c r="G8" s="59">
        <f>Oral!AL8</f>
        <v>58.676470588235297</v>
      </c>
      <c r="H8" s="59">
        <f>Noise!G9</f>
        <v>11.9</v>
      </c>
      <c r="I8" s="251">
        <f>Acceleration!E9</f>
        <v>12.020460358056255</v>
      </c>
      <c r="J8" s="250">
        <f>'Lab Emissions'!K9+'Lab Emissions'!O9</f>
        <v>238.31</v>
      </c>
      <c r="K8" s="250">
        <f>'In Service Emissions'!C10+'In Service Emissions'!I10</f>
        <v>44.743757166514911</v>
      </c>
      <c r="L8" s="250">
        <f>'Cold Start'!C8:C20</f>
        <v>0</v>
      </c>
      <c r="M8" s="250">
        <f>'Objective Handling'!E10</f>
        <v>54.891304347826122</v>
      </c>
      <c r="N8" s="250">
        <f>'Penalties and Bonuses'!J8</f>
        <v>90</v>
      </c>
      <c r="O8" s="207">
        <f>'Vehicle Weights'!G8</f>
        <v>0</v>
      </c>
      <c r="S8" s="250"/>
    </row>
    <row r="9" spans="1:19" s="31" customFormat="1" ht="14.4">
      <c r="A9" s="319" t="s">
        <v>194</v>
      </c>
      <c r="B9" s="286">
        <f>Paper!H68</f>
        <v>74.214285714285708</v>
      </c>
      <c r="C9" s="287">
        <f>Static!B10</f>
        <v>50</v>
      </c>
      <c r="D9" s="274">
        <f>MSRP!L12</f>
        <v>30.714072016241047</v>
      </c>
      <c r="E9" s="59">
        <f>'Subjective Handling '!R9</f>
        <v>30.6</v>
      </c>
      <c r="F9" s="79">
        <f>'Fuel Economy-Endurance  '!E15</f>
        <v>100</v>
      </c>
      <c r="G9" s="59">
        <f>Oral!AL9</f>
        <v>53.071428571428569</v>
      </c>
      <c r="H9" s="59">
        <f>Noise!G10</f>
        <v>36.428571428571416</v>
      </c>
      <c r="I9" s="251">
        <f>Acceleration!E10</f>
        <v>2.5</v>
      </c>
      <c r="J9" s="250">
        <f>'Lab Emissions'!K10+'Lab Emissions'!O10</f>
        <v>0</v>
      </c>
      <c r="K9" s="250">
        <f>'In Service Emissions'!C11+'In Service Emissions'!I11</f>
        <v>2.5</v>
      </c>
      <c r="L9" s="250">
        <f>'Cold Start'!C9:C21</f>
        <v>50</v>
      </c>
      <c r="M9" s="250">
        <f>'Objective Handling'!E11</f>
        <v>0</v>
      </c>
      <c r="N9" s="250">
        <f>'Penalties and Bonuses'!J9</f>
        <v>-200</v>
      </c>
      <c r="O9" s="207">
        <f>'Vehicle Weights'!G9</f>
        <v>0</v>
      </c>
      <c r="S9" s="286"/>
    </row>
    <row r="10" spans="1:19" ht="14.4">
      <c r="A10" s="383" t="s">
        <v>195</v>
      </c>
      <c r="B10" s="59">
        <f>Paper!I68</f>
        <v>82.681818181818187</v>
      </c>
      <c r="C10" s="59">
        <f>Static!B11</f>
        <v>50</v>
      </c>
      <c r="D10" s="274">
        <f>MSRP!L13</f>
        <v>17.956955108146474</v>
      </c>
      <c r="E10" s="59">
        <f>'Subjective Handling '!R10</f>
        <v>35.964285714285715</v>
      </c>
      <c r="F10" s="79">
        <f>'Fuel Economy-Endurance  '!E16</f>
        <v>197.60638297872342</v>
      </c>
      <c r="G10" s="59">
        <f>Oral!AL10</f>
        <v>65.242857142857147</v>
      </c>
      <c r="H10" s="59">
        <f>Noise!G11</f>
        <v>209.7</v>
      </c>
      <c r="I10" s="251">
        <f>Acceleration!E11</f>
        <v>24.424552429667528</v>
      </c>
      <c r="J10" s="250">
        <f>'Lab Emissions'!K11+'Lab Emissions'!O11</f>
        <v>340.44</v>
      </c>
      <c r="K10" s="250">
        <f>'In Service Emissions'!C12+'In Service Emissions'!I12</f>
        <v>100</v>
      </c>
      <c r="L10" s="250">
        <f>'Cold Start'!C10:C22</f>
        <v>50</v>
      </c>
      <c r="M10" s="250">
        <f>'Objective Handling'!E12</f>
        <v>57.806324110671937</v>
      </c>
      <c r="N10" s="250">
        <f>'Penalties and Bonuses'!J10</f>
        <v>90</v>
      </c>
      <c r="O10" s="207">
        <f>'Vehicle Weights'!G10</f>
        <v>0</v>
      </c>
      <c r="S10" s="59"/>
    </row>
    <row r="11" spans="1:19" ht="14.4">
      <c r="A11" s="319" t="s">
        <v>196</v>
      </c>
      <c r="B11" s="59">
        <f>Paper!J68</f>
        <v>53.619565217391305</v>
      </c>
      <c r="C11" s="59">
        <f>Static!B12</f>
        <v>50</v>
      </c>
      <c r="D11" s="274">
        <f>MSRP!L14</f>
        <v>27.934623662479197</v>
      </c>
      <c r="E11" s="59">
        <f>'Subjective Handling '!R11</f>
        <v>0</v>
      </c>
      <c r="F11" s="79">
        <f>'Fuel Economy-Endurance  '!E17</f>
        <v>0</v>
      </c>
      <c r="G11" s="59">
        <f>Oral!AL11</f>
        <v>49.046875</v>
      </c>
      <c r="H11" s="59">
        <f>Noise!G12</f>
        <v>0</v>
      </c>
      <c r="I11" s="251">
        <f>Acceleration!E12</f>
        <v>46.675191815856778</v>
      </c>
      <c r="J11" s="250">
        <f>'Lab Emissions'!K12+'Lab Emissions'!O12</f>
        <v>22.5</v>
      </c>
      <c r="K11" s="250">
        <f>'In Service Emissions'!C13+'In Service Emissions'!I13</f>
        <v>25.245055863135317</v>
      </c>
      <c r="L11" s="250">
        <f>'Cold Start'!C11:C23</f>
        <v>0</v>
      </c>
      <c r="M11" s="250">
        <f>'Objective Handling'!E13</f>
        <v>50.197628458498002</v>
      </c>
      <c r="N11" s="250">
        <f>'Penalties and Bonuses'!J11</f>
        <v>0</v>
      </c>
      <c r="O11" s="207">
        <f>'Vehicle Weights'!G11</f>
        <v>0</v>
      </c>
      <c r="S11" s="59"/>
    </row>
    <row r="12" spans="1:19" s="31" customFormat="1" ht="14.4">
      <c r="A12" s="319" t="s">
        <v>197</v>
      </c>
      <c r="B12" s="286">
        <f>Paper!K68</f>
        <v>67.119565217391298</v>
      </c>
      <c r="C12" s="287">
        <f>Static!B13</f>
        <v>50</v>
      </c>
      <c r="D12" s="274">
        <f>MSRP!L15</f>
        <v>32.023598369789198</v>
      </c>
      <c r="E12" s="59">
        <f>'Subjective Handling '!R12</f>
        <v>0</v>
      </c>
      <c r="F12" s="79">
        <f>'Fuel Economy-Endurance  '!E18</f>
        <v>5</v>
      </c>
      <c r="G12" s="59">
        <f>Oral!AL12</f>
        <v>50.409090909090907</v>
      </c>
      <c r="H12" s="59">
        <f>Noise!G13</f>
        <v>0</v>
      </c>
      <c r="I12" s="251">
        <f>Acceleration!E13</f>
        <v>0</v>
      </c>
      <c r="J12" s="250">
        <f>'Lab Emissions'!K13+'Lab Emissions'!O13</f>
        <v>0</v>
      </c>
      <c r="K12" s="250">
        <f>'In Service Emissions'!C14+'In Service Emissions'!I14</f>
        <v>0</v>
      </c>
      <c r="L12" s="250">
        <f>'Cold Start'!C12:C24</f>
        <v>0</v>
      </c>
      <c r="M12" s="250">
        <f>'Objective Handling'!E14</f>
        <v>0</v>
      </c>
      <c r="N12" s="250">
        <f>'Penalties and Bonuses'!J12</f>
        <v>0</v>
      </c>
      <c r="O12" s="207">
        <f>'Vehicle Weights'!G12</f>
        <v>0</v>
      </c>
      <c r="S12" s="286"/>
    </row>
    <row r="13" spans="1:19" s="140" customFormat="1" ht="14.4">
      <c r="A13" s="319" t="s">
        <v>198</v>
      </c>
      <c r="B13" s="59">
        <f>Paper!L68</f>
        <v>54.90625</v>
      </c>
      <c r="C13" s="59">
        <f>Static!B14</f>
        <v>50</v>
      </c>
      <c r="D13" s="274">
        <f>MSRP!L16</f>
        <v>20.57089432631691</v>
      </c>
      <c r="E13" s="59">
        <f>'Subjective Handling '!R13</f>
        <v>37.590909090909093</v>
      </c>
      <c r="F13" s="79">
        <f>'Fuel Economy-Endurance  '!E19</f>
        <v>200</v>
      </c>
      <c r="G13" s="59">
        <f>Oral!AL13</f>
        <v>57.882352941176471</v>
      </c>
      <c r="H13" s="59">
        <f>Noise!G14</f>
        <v>79.285714285714278</v>
      </c>
      <c r="I13" s="251">
        <f>Acceleration!E14</f>
        <v>2.5</v>
      </c>
      <c r="J13" s="250">
        <f>'Lab Emissions'!K14+'Lab Emissions'!O14</f>
        <v>64.63</v>
      </c>
      <c r="K13" s="250">
        <f>'In Service Emissions'!C15+'In Service Emissions'!I15</f>
        <v>98.350219421794591</v>
      </c>
      <c r="L13" s="250">
        <f>'Cold Start'!C13:C25</f>
        <v>50</v>
      </c>
      <c r="M13" s="250">
        <f>'Objective Handling'!E15</f>
        <v>31.52173913043481</v>
      </c>
      <c r="N13" s="250">
        <f>'Penalties and Bonuses'!J13</f>
        <v>0</v>
      </c>
      <c r="O13" s="207">
        <f>'Vehicle Weights'!G13</f>
        <v>0</v>
      </c>
      <c r="P13" s="167"/>
      <c r="S13" s="154"/>
    </row>
    <row r="14" spans="1:19" ht="14.4">
      <c r="A14" s="429" t="s">
        <v>199</v>
      </c>
      <c r="B14" s="59">
        <f>Paper!M68</f>
        <v>63.74</v>
      </c>
      <c r="C14" s="59">
        <f>Static!B15</f>
        <v>50</v>
      </c>
      <c r="D14" s="274">
        <f>MSRP!L17</f>
        <v>31.388915177140412</v>
      </c>
      <c r="E14" s="59">
        <f>'Subjective Handling '!R14</f>
        <v>40.472727272727269</v>
      </c>
      <c r="F14" s="79">
        <f>'Fuel Economy-Endurance  '!E20</f>
        <v>135.63829787234044</v>
      </c>
      <c r="G14" s="59">
        <f>Oral!AL14</f>
        <v>60.348484848484851</v>
      </c>
      <c r="H14" s="59">
        <f>Noise!G15</f>
        <v>7.5</v>
      </c>
      <c r="I14" s="251">
        <f>Acceleration!E15</f>
        <v>12.404092071611274</v>
      </c>
      <c r="J14" s="250">
        <f>'Lab Emissions'!K15+'Lab Emissions'!O15</f>
        <v>276.65999999999997</v>
      </c>
      <c r="K14" s="250">
        <f>'In Service Emissions'!C16+'In Service Emissions'!I16</f>
        <v>62.535525553413962</v>
      </c>
      <c r="L14" s="250">
        <f>'Cold Start'!C14:C26</f>
        <v>0</v>
      </c>
      <c r="M14" s="250">
        <f>'Objective Handling'!E16</f>
        <v>66.600790513833999</v>
      </c>
      <c r="N14" s="250">
        <f>'Penalties and Bonuses'!J14</f>
        <v>-80</v>
      </c>
      <c r="O14" s="207">
        <f>'Vehicle Weights'!G14</f>
        <v>0</v>
      </c>
    </row>
    <row r="15" spans="1:19" ht="14.4">
      <c r="A15" s="435" t="s">
        <v>216</v>
      </c>
      <c r="B15" s="59">
        <f>Paper!N68</f>
        <v>0</v>
      </c>
      <c r="C15" s="59">
        <f>Static!B16</f>
        <v>0</v>
      </c>
      <c r="D15" s="274">
        <f>MSRP!L18</f>
        <v>0</v>
      </c>
      <c r="E15" s="59">
        <f>'Subjective Handling '!R15</f>
        <v>0</v>
      </c>
      <c r="F15" s="79">
        <f>'Fuel Economy-Endurance  '!E21</f>
        <v>0</v>
      </c>
      <c r="G15" s="59">
        <f>Oral!AL15</f>
        <v>0</v>
      </c>
      <c r="H15" s="59">
        <f>Noise!G16</f>
        <v>0</v>
      </c>
      <c r="I15" s="251">
        <f>Acceleration!E16</f>
        <v>0</v>
      </c>
      <c r="J15" s="250">
        <f>'Lab Emissions'!K16+'Lab Emissions'!O16</f>
        <v>0</v>
      </c>
      <c r="K15" s="250">
        <f>'In Service Emissions'!C17+'In Service Emissions'!I17</f>
        <v>0</v>
      </c>
      <c r="L15" s="250">
        <f>'Cold Start'!C15:C27</f>
        <v>0</v>
      </c>
      <c r="M15" s="250">
        <v>0</v>
      </c>
      <c r="N15" s="250">
        <f>'Penalties and Bonuses'!J15</f>
        <v>0</v>
      </c>
      <c r="O15" s="207">
        <f>'Vehicle Weights'!G15</f>
        <v>0</v>
      </c>
    </row>
    <row r="16" spans="1:19" ht="14.4">
      <c r="A16" s="429" t="s">
        <v>200</v>
      </c>
      <c r="B16" s="59">
        <f>Paper!O68</f>
        <v>80.037499999999994</v>
      </c>
      <c r="C16" s="59">
        <f>Static!B17</f>
        <v>50</v>
      </c>
      <c r="D16" s="274">
        <f>MSRP!L19</f>
        <v>44</v>
      </c>
      <c r="E16" s="59">
        <f>'Subjective Handling '!R16</f>
        <v>37.96153846153846</v>
      </c>
      <c r="F16" s="79">
        <f>'Fuel Economy-Endurance  '!E22</f>
        <v>178.98936170212767</v>
      </c>
      <c r="G16" s="59">
        <f>Oral!AL16</f>
        <v>75</v>
      </c>
      <c r="H16" s="59">
        <f>Noise!G17</f>
        <v>300</v>
      </c>
      <c r="I16" s="251">
        <f>Acceleration!E17</f>
        <v>32.864450127877248</v>
      </c>
      <c r="J16" s="250">
        <f>'Lab Emissions'!K17+'Lab Emissions'!O17</f>
        <v>295.20999999999998</v>
      </c>
      <c r="K16" s="250">
        <f>'In Service Emissions'!C18+'In Service Emissions'!I18</f>
        <v>87.045687121933383</v>
      </c>
      <c r="L16" s="250">
        <f>'Cold Start'!C16:C28</f>
        <v>50</v>
      </c>
      <c r="M16" s="250">
        <f>'Objective Handling'!E18</f>
        <v>23.666007905138372</v>
      </c>
      <c r="N16" s="250">
        <f>'Penalties and Bonuses'!J16</f>
        <v>100</v>
      </c>
      <c r="O16" s="207">
        <f>'Vehicle Weights'!G16</f>
        <v>0</v>
      </c>
    </row>
    <row r="17" spans="1:15">
      <c r="B17" s="2" t="s">
        <v>46</v>
      </c>
      <c r="C17" s="2" t="s">
        <v>46</v>
      </c>
      <c r="D17" s="2" t="s">
        <v>46</v>
      </c>
      <c r="E17" s="2" t="s">
        <v>46</v>
      </c>
      <c r="F17" s="2" t="s">
        <v>46</v>
      </c>
      <c r="G17" s="2" t="s">
        <v>46</v>
      </c>
      <c r="H17" s="2" t="s">
        <v>46</v>
      </c>
      <c r="I17" s="2" t="s">
        <v>46</v>
      </c>
      <c r="J17" s="2" t="s">
        <v>46</v>
      </c>
      <c r="K17" s="2" t="s">
        <v>46</v>
      </c>
      <c r="L17" s="2" t="s">
        <v>46</v>
      </c>
      <c r="M17" s="2" t="s">
        <v>46</v>
      </c>
      <c r="N17" s="13"/>
      <c r="O17" s="2" t="s">
        <v>46</v>
      </c>
    </row>
    <row r="18" spans="1:15">
      <c r="A18" s="10"/>
      <c r="B18" s="20" t="s">
        <v>19</v>
      </c>
      <c r="C18" s="17" t="s">
        <v>19</v>
      </c>
      <c r="D18" s="17" t="s">
        <v>22</v>
      </c>
      <c r="E18" s="34" t="s">
        <v>46</v>
      </c>
      <c r="F18" s="17" t="s">
        <v>19</v>
      </c>
      <c r="G18" s="33"/>
      <c r="H18" s="33"/>
      <c r="I18" s="65"/>
      <c r="L18" s="53"/>
      <c r="M18" s="35"/>
      <c r="N18" s="9"/>
      <c r="O18" s="6"/>
    </row>
    <row r="19" spans="1:15">
      <c r="A19" s="6"/>
      <c r="B19" s="20" t="s">
        <v>18</v>
      </c>
      <c r="C19" s="20" t="s">
        <v>21</v>
      </c>
      <c r="D19" s="5" t="s">
        <v>23</v>
      </c>
      <c r="E19" s="20" t="s">
        <v>19</v>
      </c>
      <c r="F19" s="5" t="s">
        <v>24</v>
      </c>
      <c r="G19" s="20" t="s">
        <v>25</v>
      </c>
      <c r="H19" s="20" t="s">
        <v>27</v>
      </c>
      <c r="L19" s="53"/>
      <c r="M19" s="35"/>
      <c r="N19" s="9"/>
      <c r="O19" s="6"/>
    </row>
    <row r="20" spans="1:15">
      <c r="A20" s="6"/>
      <c r="B20" s="20" t="s">
        <v>20</v>
      </c>
      <c r="C20" s="20" t="s">
        <v>20</v>
      </c>
      <c r="D20" s="5" t="s">
        <v>20</v>
      </c>
      <c r="E20" s="20" t="s">
        <v>50</v>
      </c>
      <c r="F20" s="5" t="s">
        <v>20</v>
      </c>
      <c r="G20" s="20" t="s">
        <v>9</v>
      </c>
      <c r="H20" s="20" t="s">
        <v>26</v>
      </c>
      <c r="L20" s="53"/>
      <c r="M20" s="35"/>
      <c r="N20" s="9"/>
      <c r="O20" s="6"/>
    </row>
    <row r="21" spans="1:15" ht="14.4">
      <c r="A21" s="319" t="s">
        <v>190</v>
      </c>
      <c r="B21" s="79">
        <f t="shared" ref="B21:B33" si="0">IF(AND(H4&gt;0,J4&gt;0,I4&gt;0),(I4+M4),"Not Eligible")</f>
        <v>48.866542664496677</v>
      </c>
      <c r="C21" s="79">
        <f t="shared" ref="C21:C33" si="1">IF(AND(J4&gt;0,H4&gt;0,I4&gt;0),(B4+G4+C4),"Not Eligible")</f>
        <v>205.58727272727273</v>
      </c>
      <c r="D21" s="381">
        <f>(H4+'Lab Emissions'!K5)/MSRP!C7</f>
        <v>3.6984342787877655E-2</v>
      </c>
      <c r="E21" s="159">
        <f t="shared" ref="E21:E33" si="2">E4+M4</f>
        <v>63.90538537549412</v>
      </c>
      <c r="F21" s="381">
        <f>(F4+I4+M4+E4+L4)/MSRP!C7</f>
        <v>2.7803722919684182E-2</v>
      </c>
      <c r="G21" s="17">
        <f t="shared" ref="G21:G33" si="3">SUM(B4:O4)</f>
        <v>1153.3765652494703</v>
      </c>
      <c r="H21" s="5">
        <f t="shared" ref="H21:H33" si="4">RANK(G21,$G$21:$G$33)</f>
        <v>4</v>
      </c>
      <c r="I21" s="160"/>
      <c r="L21" s="53"/>
      <c r="M21" s="35"/>
      <c r="N21" s="19"/>
      <c r="O21" s="6"/>
    </row>
    <row r="22" spans="1:15" ht="14.4">
      <c r="A22" s="319" t="s">
        <v>191</v>
      </c>
      <c r="B22" s="79">
        <f t="shared" si="0"/>
        <v>113.78458498023718</v>
      </c>
      <c r="C22" s="79">
        <f t="shared" si="1"/>
        <v>180.10732323232324</v>
      </c>
      <c r="D22" s="381">
        <f>(H5+'Lab Emissions'!K6)/MSRP!C8</f>
        <v>1.5274412908631083E-2</v>
      </c>
      <c r="E22" s="159">
        <f t="shared" si="2"/>
        <v>105.43458498023719</v>
      </c>
      <c r="F22" s="381">
        <f>(F5+I5+M5+E5+L5)/MSRP!C8</f>
        <v>2.0827062513263002E-2</v>
      </c>
      <c r="G22" s="17">
        <f t="shared" si="3"/>
        <v>862.01603428321209</v>
      </c>
      <c r="H22" s="5">
        <f t="shared" si="4"/>
        <v>6</v>
      </c>
      <c r="L22" s="53"/>
      <c r="M22" s="35"/>
      <c r="N22" s="19"/>
      <c r="O22" s="6"/>
    </row>
    <row r="23" spans="1:15" s="167" customFormat="1" ht="14.4">
      <c r="A23" s="319" t="s">
        <v>192</v>
      </c>
      <c r="B23" s="79">
        <f t="shared" si="0"/>
        <v>122.18670076726346</v>
      </c>
      <c r="C23" s="79">
        <f t="shared" si="1"/>
        <v>208.79356060606062</v>
      </c>
      <c r="D23" s="381">
        <f>(H6+'Lab Emissions'!K7)/MSRP!C9</f>
        <v>3.5422648265111011E-2</v>
      </c>
      <c r="E23" s="159">
        <f t="shared" si="2"/>
        <v>120.76666666666671</v>
      </c>
      <c r="F23" s="381">
        <f>(F6+I6+M6+E6+L6)/MSRP!C9</f>
        <v>3.129695832443629E-2</v>
      </c>
      <c r="G23" s="17">
        <f t="shared" si="3"/>
        <v>1245.8120170146713</v>
      </c>
      <c r="H23" s="5">
        <f t="shared" si="4"/>
        <v>3</v>
      </c>
      <c r="J23" s="257"/>
      <c r="K23" s="242"/>
      <c r="L23" s="258"/>
      <c r="M23" s="255"/>
      <c r="N23" s="259"/>
      <c r="O23" s="247"/>
    </row>
    <row r="24" spans="1:15" ht="14.4">
      <c r="A24" s="432" t="s">
        <v>213</v>
      </c>
      <c r="B24" s="79" t="str">
        <f t="shared" si="0"/>
        <v>Not Eligible</v>
      </c>
      <c r="C24" s="79" t="str">
        <f t="shared" si="1"/>
        <v>Not Eligible</v>
      </c>
      <c r="D24" s="381">
        <f>(H7+'Lab Emissions'!K8)/MSRP!C10</f>
        <v>0</v>
      </c>
      <c r="E24" s="159">
        <f t="shared" si="2"/>
        <v>0</v>
      </c>
      <c r="F24" s="381">
        <f>(F7+I7+M7+E7+L7)/MSRP!C10</f>
        <v>0</v>
      </c>
      <c r="G24" s="17">
        <f t="shared" si="3"/>
        <v>56.792004449498563</v>
      </c>
      <c r="H24" s="5">
        <f t="shared" si="4"/>
        <v>12</v>
      </c>
      <c r="L24" s="53"/>
      <c r="M24" s="35"/>
      <c r="N24" s="19"/>
      <c r="O24" s="6"/>
    </row>
    <row r="25" spans="1:15" ht="14.4">
      <c r="A25" s="319" t="s">
        <v>193</v>
      </c>
      <c r="B25" s="79">
        <f t="shared" si="0"/>
        <v>66.911764705882376</v>
      </c>
      <c r="C25" s="79">
        <f t="shared" si="1"/>
        <v>187.53758169934642</v>
      </c>
      <c r="D25" s="381">
        <f>(H8+'Lab Emissions'!K9)/MSRP!C11</f>
        <v>1.7101607429666859E-2</v>
      </c>
      <c r="E25" s="159">
        <f t="shared" si="2"/>
        <v>93.016304347826122</v>
      </c>
      <c r="F25" s="381">
        <f>(F8+I8+M8+E8+L8)/MSRP!C11</f>
        <v>2.2282648135405002E-2</v>
      </c>
      <c r="G25" s="17">
        <f t="shared" si="3"/>
        <v>880.60779670394982</v>
      </c>
      <c r="H25" s="5">
        <f t="shared" si="4"/>
        <v>5</v>
      </c>
      <c r="L25" s="53"/>
      <c r="M25" s="35"/>
      <c r="N25" s="19"/>
      <c r="O25" s="6"/>
    </row>
    <row r="26" spans="1:15" ht="14.4">
      <c r="A26" s="319" t="s">
        <v>194</v>
      </c>
      <c r="B26" s="79" t="str">
        <f t="shared" si="0"/>
        <v>Not Eligible</v>
      </c>
      <c r="C26" s="79" t="str">
        <f t="shared" si="1"/>
        <v>Not Eligible</v>
      </c>
      <c r="D26" s="381">
        <f>(H9+'Lab Emissions'!K10)/MSRP!C12</f>
        <v>3.100942613591175E-3</v>
      </c>
      <c r="E26" s="159">
        <f t="shared" si="2"/>
        <v>30.6</v>
      </c>
      <c r="F26" s="381">
        <f>(F9+I9+M9+E9+L9)/MSRP!C12</f>
        <v>1.5586188815058079E-2</v>
      </c>
      <c r="G26" s="17">
        <f t="shared" si="3"/>
        <v>230.02835773052675</v>
      </c>
      <c r="H26" s="5">
        <f t="shared" si="4"/>
        <v>10</v>
      </c>
      <c r="I26" s="160"/>
      <c r="L26" s="53"/>
      <c r="M26" s="35"/>
      <c r="N26" s="19"/>
      <c r="O26" s="6"/>
    </row>
    <row r="27" spans="1:15" ht="14.4">
      <c r="A27" s="383" t="s">
        <v>195</v>
      </c>
      <c r="B27" s="79">
        <f t="shared" si="0"/>
        <v>82.230876540339466</v>
      </c>
      <c r="C27" s="79">
        <f t="shared" si="1"/>
        <v>197.92467532467532</v>
      </c>
      <c r="D27" s="381">
        <f>(H10+'Lab Emissions'!K11)/MSRP!C13</f>
        <v>3.3468351482600994E-2</v>
      </c>
      <c r="E27" s="159">
        <f t="shared" si="2"/>
        <v>93.77060982495766</v>
      </c>
      <c r="F27" s="381">
        <f>(F10+I10+M10+E10+L10)/MSRP!C13</f>
        <v>2.4478695342800567E-2</v>
      </c>
      <c r="G27" s="17">
        <f t="shared" si="3"/>
        <v>1321.8231756661705</v>
      </c>
      <c r="H27" s="5">
        <f t="shared" si="4"/>
        <v>2</v>
      </c>
      <c r="L27" s="53"/>
      <c r="M27" s="35"/>
      <c r="N27" s="19"/>
      <c r="O27" s="6"/>
    </row>
    <row r="28" spans="1:15" ht="14.4">
      <c r="A28" s="319" t="s">
        <v>196</v>
      </c>
      <c r="B28" s="79" t="str">
        <f t="shared" si="0"/>
        <v>Not Eligible</v>
      </c>
      <c r="C28" s="79" t="str">
        <f t="shared" si="1"/>
        <v>Not Eligible</v>
      </c>
      <c r="D28" s="381">
        <f>(H11+'Lab Emissions'!K12)/MSRP!C14</f>
        <v>1.3676691225445211E-3</v>
      </c>
      <c r="E28" s="159">
        <f t="shared" si="2"/>
        <v>50.197628458498002</v>
      </c>
      <c r="F28" s="381">
        <f>(F11+I11+M11+E11+L11)/MSRP!C14</f>
        <v>6.6244982551519945E-3</v>
      </c>
      <c r="G28" s="17">
        <f t="shared" si="3"/>
        <v>325.21894001736058</v>
      </c>
      <c r="H28" s="5">
        <f t="shared" si="4"/>
        <v>9</v>
      </c>
      <c r="L28" s="53"/>
      <c r="M28" s="35"/>
      <c r="N28" s="19"/>
      <c r="O28" s="6"/>
    </row>
    <row r="29" spans="1:15" ht="14.4">
      <c r="A29" s="319" t="s">
        <v>197</v>
      </c>
      <c r="B29" s="79" t="str">
        <f t="shared" si="0"/>
        <v>Not Eligible</v>
      </c>
      <c r="C29" s="79" t="str">
        <f t="shared" si="1"/>
        <v>Not Eligible</v>
      </c>
      <c r="D29" s="381">
        <f>(H12+'Lab Emissions'!K13)/MSRP!C15</f>
        <v>0</v>
      </c>
      <c r="E29" s="159">
        <f t="shared" si="2"/>
        <v>0</v>
      </c>
      <c r="F29" s="381">
        <f>(F12+I12+M12+E12+L12)/MSRP!C15</f>
        <v>3.8590817700836263E-4</v>
      </c>
      <c r="G29" s="17">
        <f t="shared" si="3"/>
        <v>204.55225449627139</v>
      </c>
      <c r="H29" s="5">
        <f t="shared" si="4"/>
        <v>11</v>
      </c>
      <c r="L29" s="53"/>
      <c r="M29" s="35"/>
      <c r="N29" s="19"/>
      <c r="O29" s="6"/>
    </row>
    <row r="30" spans="1:15" s="167" customFormat="1" ht="14.4">
      <c r="A30" s="319" t="s">
        <v>198</v>
      </c>
      <c r="B30" s="79">
        <f t="shared" si="0"/>
        <v>34.02173913043481</v>
      </c>
      <c r="C30" s="79">
        <f t="shared" si="1"/>
        <v>162.78860294117646</v>
      </c>
      <c r="D30" s="381">
        <f>(H13+'Lab Emissions'!K14)/MSRP!C16</f>
        <v>6.8876666171151079E-3</v>
      </c>
      <c r="E30" s="159">
        <f t="shared" si="2"/>
        <v>69.112648221343903</v>
      </c>
      <c r="F30" s="381">
        <f>(F13+I13+M13+E13+L13)/MSRP!C16</f>
        <v>2.2310971087155317E-2</v>
      </c>
      <c r="G30" s="17">
        <f t="shared" si="3"/>
        <v>747.23807919634623</v>
      </c>
      <c r="H30" s="5">
        <f t="shared" si="4"/>
        <v>7</v>
      </c>
      <c r="J30" s="257"/>
      <c r="K30" s="242"/>
      <c r="L30" s="258"/>
      <c r="M30" s="255"/>
      <c r="N30" s="259"/>
      <c r="O30" s="247"/>
    </row>
    <row r="31" spans="1:15" ht="14.4">
      <c r="A31" s="429" t="s">
        <v>199</v>
      </c>
      <c r="B31" s="79">
        <f t="shared" si="0"/>
        <v>79.004882585445273</v>
      </c>
      <c r="C31" s="79">
        <f t="shared" si="1"/>
        <v>174.08848484848485</v>
      </c>
      <c r="D31" s="381">
        <f>(H14+'Lab Emissions'!K15)/MSRP!C17</f>
        <v>1.8135993539554311E-2</v>
      </c>
      <c r="E31" s="159">
        <f t="shared" si="2"/>
        <v>107.07351778656127</v>
      </c>
      <c r="F31" s="381">
        <f>(F14+I14+M14+E14+L14)/MSRP!C17</f>
        <v>1.8460601102972977E-2</v>
      </c>
      <c r="G31" s="17">
        <f t="shared" si="3"/>
        <v>727.28883330955216</v>
      </c>
      <c r="H31" s="5">
        <f t="shared" si="4"/>
        <v>8</v>
      </c>
      <c r="L31" s="53"/>
      <c r="M31" s="35"/>
      <c r="N31" s="19"/>
      <c r="O31" s="6"/>
    </row>
    <row r="32" spans="1:15" ht="14.4">
      <c r="A32" s="435" t="s">
        <v>216</v>
      </c>
      <c r="B32" s="79" t="str">
        <f t="shared" si="0"/>
        <v>Not Eligible</v>
      </c>
      <c r="C32" s="79" t="str">
        <f t="shared" si="1"/>
        <v>Not Eligible</v>
      </c>
      <c r="D32" s="79" t="str">
        <f t="shared" ref="D32" si="5">IF(AND(K15&gt;0,I15&gt;0,J15&gt;0),(C15+H15+D15),"Not Eligible")</f>
        <v>Not Eligible</v>
      </c>
      <c r="E32" s="79"/>
      <c r="F32" s="79" t="str">
        <f t="shared" ref="F32" si="6">IF(AND(M15&gt;0,K15&gt;0,L15&gt;0),(E15+J15+F15),"Not Eligible")</f>
        <v>Not Eligible</v>
      </c>
      <c r="G32" s="17">
        <f t="shared" si="3"/>
        <v>0</v>
      </c>
      <c r="H32" s="5">
        <f t="shared" si="4"/>
        <v>13</v>
      </c>
      <c r="L32" s="53"/>
      <c r="M32" s="35"/>
      <c r="N32" s="19"/>
      <c r="O32" s="6"/>
    </row>
    <row r="33" spans="1:15" ht="14.4">
      <c r="A33" s="429" t="s">
        <v>200</v>
      </c>
      <c r="B33" s="79">
        <f t="shared" si="0"/>
        <v>56.53045803301562</v>
      </c>
      <c r="C33" s="79">
        <f t="shared" si="1"/>
        <v>205.03749999999999</v>
      </c>
      <c r="D33" s="381">
        <f>(H16+'Lab Emissions'!K17)/MSRP!C19</f>
        <v>6.3196581575043723E-2</v>
      </c>
      <c r="E33" s="159">
        <f t="shared" si="2"/>
        <v>61.627546366676832</v>
      </c>
      <c r="F33" s="381">
        <f>(F16+I16+M16+E16+L16)/MSRP!C19</f>
        <v>3.5809480173210728E-2</v>
      </c>
      <c r="G33" s="17">
        <f t="shared" si="3"/>
        <v>1354.7745453186153</v>
      </c>
      <c r="H33" s="5">
        <f t="shared" si="4"/>
        <v>1</v>
      </c>
    </row>
    <row r="34" spans="1:15" s="65" customFormat="1">
      <c r="A34" s="127"/>
      <c r="B34" s="184"/>
      <c r="C34" s="184"/>
      <c r="D34" s="185"/>
      <c r="E34" s="185"/>
      <c r="F34" s="185"/>
      <c r="G34" s="182"/>
      <c r="H34" s="186"/>
      <c r="I34" s="66"/>
      <c r="J34" s="37"/>
      <c r="K34" s="132"/>
      <c r="L34" s="66"/>
      <c r="M34" s="66"/>
      <c r="N34" s="66"/>
      <c r="O34" s="38"/>
    </row>
    <row r="35" spans="1:15" s="65" customFormat="1">
      <c r="A35" s="127"/>
      <c r="B35" s="380">
        <f>MAX(B21:B33)</f>
        <v>122.18670076726346</v>
      </c>
      <c r="C35" s="380">
        <f>MAX(C21:C33)</f>
        <v>208.79356060606062</v>
      </c>
      <c r="D35" s="380">
        <f>MAX(D21:D33)</f>
        <v>6.3196581575043723E-2</v>
      </c>
      <c r="E35" s="380">
        <f>MAX(E21:E33)</f>
        <v>120.76666666666671</v>
      </c>
      <c r="F35" s="380">
        <f>MAX(F21:F33)</f>
        <v>3.5809480173210728E-2</v>
      </c>
      <c r="G35" s="182"/>
      <c r="H35" s="186"/>
      <c r="I35" s="66"/>
      <c r="J35" s="37"/>
      <c r="K35" s="132"/>
      <c r="L35" s="66"/>
      <c r="M35" s="66"/>
      <c r="N35" s="66"/>
      <c r="O35" s="38"/>
    </row>
    <row r="36" spans="1:15" s="65" customFormat="1">
      <c r="C36" s="163"/>
      <c r="F36" s="79"/>
      <c r="G36" s="37"/>
      <c r="H36" s="66"/>
      <c r="I36" s="66"/>
      <c r="J36" s="37"/>
      <c r="K36" s="132"/>
      <c r="L36" s="66"/>
      <c r="M36" s="66"/>
      <c r="N36" s="66"/>
      <c r="O36" s="38"/>
    </row>
    <row r="37" spans="1:15" s="65" customFormat="1" ht="27.6">
      <c r="A37" s="520" t="s">
        <v>245</v>
      </c>
      <c r="B37" s="509" t="str">
        <f>+A33</f>
        <v>#14 Kettering University</v>
      </c>
      <c r="C37" s="509"/>
      <c r="D37" s="509"/>
      <c r="E37" s="509"/>
      <c r="F37" s="79"/>
      <c r="G37" s="37"/>
      <c r="H37" s="66"/>
      <c r="I37" s="38"/>
      <c r="J37" s="199"/>
      <c r="K37" s="132"/>
      <c r="L37" s="38"/>
      <c r="M37" s="38"/>
      <c r="N37" s="38"/>
      <c r="O37" s="38"/>
    </row>
    <row r="38" spans="1:15" s="65" customFormat="1" ht="20.25" customHeight="1">
      <c r="A38" s="419" t="s">
        <v>131</v>
      </c>
      <c r="B38" s="511" t="str">
        <f>+A27</f>
        <v xml:space="preserve">#8 SUNY - Buffalo </v>
      </c>
      <c r="C38" s="511"/>
      <c r="D38" s="511"/>
      <c r="E38" s="511"/>
      <c r="F38" s="79"/>
      <c r="G38" s="37"/>
      <c r="H38" s="66"/>
      <c r="I38" s="38"/>
      <c r="J38" s="199"/>
      <c r="K38" s="132"/>
      <c r="L38" s="38"/>
      <c r="M38" s="38"/>
      <c r="N38" s="38"/>
      <c r="O38" s="38"/>
    </row>
    <row r="39" spans="1:15" s="65" customFormat="1" ht="19.5" customHeight="1">
      <c r="A39" s="419" t="s">
        <v>132</v>
      </c>
      <c r="B39" s="509" t="str">
        <f>+A23</f>
        <v xml:space="preserve">#3 Univ of Idaho </v>
      </c>
      <c r="C39" s="509"/>
      <c r="D39" s="509"/>
      <c r="E39" s="509"/>
      <c r="F39" s="79"/>
      <c r="G39" s="37"/>
      <c r="H39" s="66"/>
      <c r="I39" s="38"/>
      <c r="J39" s="199"/>
      <c r="K39" s="132"/>
      <c r="L39" s="38"/>
      <c r="M39" s="38"/>
      <c r="N39" s="38"/>
      <c r="O39" s="38"/>
    </row>
    <row r="40" spans="1:15" s="65" customFormat="1" ht="14.4" customHeight="1">
      <c r="A40" s="419" t="s">
        <v>246</v>
      </c>
      <c r="B40" s="510" t="str">
        <f>+A23</f>
        <v xml:space="preserve">#3 Univ of Idaho </v>
      </c>
      <c r="C40" s="510"/>
      <c r="D40" s="510"/>
      <c r="E40" s="510"/>
      <c r="F40" s="79"/>
      <c r="G40" s="38"/>
      <c r="H40" s="38"/>
      <c r="I40" s="38"/>
      <c r="J40" s="199"/>
      <c r="K40" s="132"/>
      <c r="L40" s="38"/>
      <c r="M40" s="38"/>
      <c r="N40" s="38"/>
      <c r="O40" s="38"/>
    </row>
    <row r="41" spans="1:15" s="65" customFormat="1" ht="14.4" customHeight="1">
      <c r="A41" s="419" t="s">
        <v>70</v>
      </c>
      <c r="B41" s="510" t="str">
        <f>+A23</f>
        <v xml:space="preserve">#3 Univ of Idaho </v>
      </c>
      <c r="C41" s="510"/>
      <c r="D41" s="510"/>
      <c r="E41" s="510"/>
      <c r="F41" s="255"/>
      <c r="G41" s="38"/>
      <c r="H41" s="38"/>
      <c r="I41" s="38"/>
      <c r="J41" s="199"/>
      <c r="K41" s="132"/>
      <c r="L41" s="38"/>
      <c r="M41" s="38"/>
      <c r="N41" s="38"/>
      <c r="O41" s="38"/>
    </row>
    <row r="42" spans="1:15" s="65" customFormat="1" ht="14.4" customHeight="1">
      <c r="A42" s="419" t="s">
        <v>92</v>
      </c>
      <c r="B42" s="509" t="str">
        <f>+A27</f>
        <v xml:space="preserve">#8 SUNY - Buffalo </v>
      </c>
      <c r="C42" s="509"/>
      <c r="D42" s="509"/>
      <c r="E42" s="509"/>
      <c r="F42" s="79"/>
      <c r="G42" s="38"/>
      <c r="H42" s="38"/>
      <c r="I42" s="38"/>
      <c r="J42" s="199"/>
      <c r="K42" s="132"/>
      <c r="L42" s="38"/>
      <c r="M42" s="38"/>
      <c r="N42" s="38"/>
      <c r="O42" s="38"/>
    </row>
    <row r="43" spans="1:15" ht="14.4" customHeight="1">
      <c r="A43" s="420" t="s">
        <v>93</v>
      </c>
      <c r="B43" s="510" t="str">
        <f>+A27</f>
        <v xml:space="preserve">#8 SUNY - Buffalo </v>
      </c>
      <c r="C43" s="510"/>
      <c r="D43" s="510"/>
      <c r="E43" s="510"/>
      <c r="F43" s="79"/>
    </row>
    <row r="44" spans="1:15" s="65" customFormat="1" ht="14.4" customHeight="1">
      <c r="A44" s="419" t="s">
        <v>71</v>
      </c>
      <c r="B44" s="510" t="str">
        <f>+A23</f>
        <v xml:space="preserve">#3 Univ of Idaho </v>
      </c>
      <c r="C44" s="510"/>
      <c r="D44" s="510"/>
      <c r="E44" s="510"/>
      <c r="F44" s="79"/>
      <c r="G44" s="38"/>
      <c r="H44" s="38"/>
      <c r="I44" s="38"/>
      <c r="J44" s="199"/>
      <c r="K44" s="132"/>
      <c r="L44" s="38"/>
      <c r="M44" s="38"/>
      <c r="N44" s="38"/>
      <c r="O44" s="38"/>
    </row>
    <row r="45" spans="1:15" s="65" customFormat="1" ht="14.4" customHeight="1">
      <c r="A45" s="419" t="s">
        <v>72</v>
      </c>
      <c r="B45" s="510" t="str">
        <f>+A30</f>
        <v xml:space="preserve">#11 North Dakota State Univ </v>
      </c>
      <c r="C45" s="510"/>
      <c r="D45" s="510"/>
      <c r="E45" s="510"/>
      <c r="F45" s="79"/>
      <c r="G45" s="38"/>
      <c r="H45" s="38"/>
      <c r="I45" s="38"/>
      <c r="J45" s="199"/>
      <c r="K45" s="132"/>
      <c r="L45" s="38"/>
      <c r="M45" s="38"/>
      <c r="N45" s="38"/>
      <c r="O45" s="38"/>
    </row>
    <row r="46" spans="1:15" s="65" customFormat="1" ht="14.4" customHeight="1">
      <c r="A46" s="419" t="s">
        <v>151</v>
      </c>
      <c r="B46" s="510" t="str">
        <f>+A33</f>
        <v>#14 Kettering University</v>
      </c>
      <c r="C46" s="510"/>
      <c r="D46" s="510"/>
      <c r="E46" s="510"/>
      <c r="F46" s="79"/>
      <c r="G46" s="38"/>
      <c r="H46" s="38"/>
      <c r="I46" s="38"/>
      <c r="J46" s="199"/>
      <c r="K46" s="132"/>
      <c r="L46" s="38"/>
      <c r="M46" s="38"/>
      <c r="N46" s="38"/>
      <c r="O46" s="38"/>
    </row>
    <row r="47" spans="1:15" ht="14.4" customHeight="1">
      <c r="A47" s="421" t="s">
        <v>73</v>
      </c>
      <c r="B47" s="510" t="str">
        <f>+A33</f>
        <v>#14 Kettering University</v>
      </c>
      <c r="C47" s="510"/>
      <c r="D47" s="510"/>
      <c r="E47" s="510"/>
      <c r="F47" s="79"/>
      <c r="G47" s="38"/>
      <c r="H47" s="38"/>
      <c r="I47" s="6"/>
      <c r="J47" s="197"/>
      <c r="K47" s="18"/>
      <c r="L47" s="6"/>
      <c r="M47" s="6"/>
      <c r="N47" s="6"/>
      <c r="O47" s="6"/>
    </row>
    <row r="48" spans="1:15" ht="14.4" customHeight="1">
      <c r="A48" s="421" t="s">
        <v>74</v>
      </c>
      <c r="B48" s="510" t="str">
        <f>+A33</f>
        <v>#14 Kettering University</v>
      </c>
      <c r="C48" s="510"/>
      <c r="D48" s="510"/>
      <c r="E48" s="510"/>
      <c r="F48" s="79"/>
      <c r="G48" s="38"/>
      <c r="H48" s="38"/>
    </row>
    <row r="49" spans="1:11" ht="18" customHeight="1">
      <c r="A49" s="119" t="s">
        <v>79</v>
      </c>
      <c r="B49" s="509" t="str">
        <f>+A22</f>
        <v xml:space="preserve">#2 Univ of Wisconsin - Platteville </v>
      </c>
      <c r="C49" s="509"/>
      <c r="D49" s="509"/>
      <c r="E49" s="509"/>
      <c r="F49" s="79"/>
      <c r="G49" s="6"/>
      <c r="H49" s="6"/>
    </row>
    <row r="50" spans="1:11" ht="13.8">
      <c r="A50" s="119" t="s">
        <v>75</v>
      </c>
      <c r="B50" s="510" t="str">
        <f>+A23</f>
        <v xml:space="preserve">#3 Univ of Idaho </v>
      </c>
      <c r="C50" s="510"/>
      <c r="D50" s="510"/>
      <c r="E50" s="510"/>
      <c r="F50" s="79"/>
    </row>
    <row r="51" spans="1:11" ht="13.8">
      <c r="A51" s="421" t="s">
        <v>134</v>
      </c>
      <c r="B51" s="512" t="str">
        <f>+A26</f>
        <v>#6 Michigan Tech University</v>
      </c>
      <c r="C51" s="512"/>
      <c r="D51" s="512"/>
      <c r="E51" s="512"/>
      <c r="F51" s="79"/>
    </row>
    <row r="52" spans="1:11" ht="13.8">
      <c r="A52" s="422" t="s">
        <v>188</v>
      </c>
      <c r="B52" s="512" t="str">
        <f>+A31</f>
        <v xml:space="preserve">#12 Univ of Minnesota - Duluth </v>
      </c>
      <c r="C52" s="512"/>
      <c r="D52" s="512"/>
      <c r="E52" s="512"/>
      <c r="F52" s="79"/>
    </row>
    <row r="53" spans="1:11" ht="13.8">
      <c r="A53" s="422" t="s">
        <v>122</v>
      </c>
      <c r="B53" s="512" t="s">
        <v>241</v>
      </c>
      <c r="C53" s="512"/>
      <c r="D53" s="512"/>
      <c r="E53" s="512"/>
      <c r="F53" s="79"/>
    </row>
    <row r="54" spans="1:11" ht="13.8">
      <c r="A54" s="421" t="s">
        <v>244</v>
      </c>
      <c r="B54" s="512" t="str">
        <f>+A28</f>
        <v xml:space="preserve">#9 University of Waterloo </v>
      </c>
      <c r="C54" s="512"/>
      <c r="D54" s="512"/>
      <c r="E54" s="512"/>
      <c r="F54" s="79"/>
    </row>
    <row r="55" spans="1:11" ht="13.8">
      <c r="A55" s="422" t="s">
        <v>133</v>
      </c>
      <c r="B55" s="512" t="str">
        <f>+A4</f>
        <v xml:space="preserve">#1 Univ of Wisconsin - Madison </v>
      </c>
      <c r="C55" s="512"/>
      <c r="D55" s="512"/>
      <c r="E55" s="512"/>
      <c r="F55" s="79"/>
    </row>
    <row r="56" spans="1:11" ht="13.8">
      <c r="A56" s="422" t="s">
        <v>152</v>
      </c>
      <c r="B56" s="512" t="str">
        <f>+A22</f>
        <v xml:space="preserve">#2 Univ of Wisconsin - Platteville </v>
      </c>
      <c r="C56" s="512"/>
      <c r="D56" s="512"/>
      <c r="E56" s="512"/>
      <c r="F56" s="79"/>
    </row>
    <row r="57" spans="1:11" ht="14.4">
      <c r="A57" s="423"/>
      <c r="B57" s="428"/>
      <c r="C57" s="424"/>
      <c r="D57" s="424"/>
      <c r="E57" s="425"/>
      <c r="F57" s="79"/>
    </row>
    <row r="58" spans="1:11" ht="14.4">
      <c r="A58" s="320"/>
      <c r="B58" s="377"/>
      <c r="C58" s="171"/>
      <c r="D58" s="426"/>
      <c r="E58" s="427"/>
      <c r="F58" s="79"/>
    </row>
    <row r="59" spans="1:11" s="1" customFormat="1" ht="14.4">
      <c r="A59" s="335"/>
      <c r="B59" s="377"/>
      <c r="C59" s="17"/>
      <c r="D59" s="27"/>
      <c r="E59" s="78"/>
      <c r="F59" s="79"/>
      <c r="J59" s="201"/>
      <c r="K59" s="60"/>
    </row>
    <row r="60" spans="1:11" s="1" customFormat="1">
      <c r="A60" s="202"/>
      <c r="B60" s="378"/>
      <c r="C60" s="379"/>
      <c r="J60" s="201"/>
      <c r="K60" s="60"/>
    </row>
    <row r="61" spans="1:11" s="1" customFormat="1">
      <c r="A61" s="202"/>
      <c r="C61" s="60"/>
      <c r="J61" s="201"/>
      <c r="K61" s="60"/>
    </row>
    <row r="62" spans="1:11" s="1" customFormat="1">
      <c r="A62" s="202"/>
      <c r="C62" s="60"/>
      <c r="J62" s="201"/>
      <c r="K62" s="60"/>
    </row>
    <row r="63" spans="1:11" s="1" customFormat="1">
      <c r="A63" s="202"/>
      <c r="C63" s="60"/>
      <c r="J63" s="201"/>
      <c r="K63" s="60"/>
    </row>
    <row r="64" spans="1:11" s="1" customFormat="1">
      <c r="A64" s="202"/>
      <c r="C64" s="60"/>
      <c r="J64" s="201"/>
      <c r="K64" s="60"/>
    </row>
    <row r="65" spans="1:11" s="1" customFormat="1">
      <c r="A65" s="202"/>
      <c r="C65" s="60"/>
      <c r="J65" s="201"/>
      <c r="K65" s="60"/>
    </row>
    <row r="66" spans="1:11" s="1" customFormat="1">
      <c r="A66" s="202"/>
      <c r="C66" s="60"/>
      <c r="J66" s="201"/>
      <c r="K66" s="60"/>
    </row>
  </sheetData>
  <mergeCells count="20">
    <mergeCell ref="B49:E49"/>
    <mergeCell ref="B50:E50"/>
    <mergeCell ref="B51:E51"/>
    <mergeCell ref="B56:E56"/>
    <mergeCell ref="B52:E52"/>
    <mergeCell ref="B53:E53"/>
    <mergeCell ref="B55:E55"/>
    <mergeCell ref="B54:E54"/>
    <mergeCell ref="B42:E42"/>
    <mergeCell ref="B43:E43"/>
    <mergeCell ref="B48:E48"/>
    <mergeCell ref="B44:E44"/>
    <mergeCell ref="B45:E45"/>
    <mergeCell ref="B47:E47"/>
    <mergeCell ref="B46:E46"/>
    <mergeCell ref="B39:E39"/>
    <mergeCell ref="B40:E40"/>
    <mergeCell ref="B38:E38"/>
    <mergeCell ref="B37:E37"/>
    <mergeCell ref="B41:E41"/>
  </mergeCells>
  <phoneticPr fontId="23" type="noConversion"/>
  <printOptions gridLines="1"/>
  <pageMargins left="0.75" right="0.75" top="1" bottom="1" header="0.5" footer="0.5"/>
  <pageSetup scale="54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97"/>
  <sheetViews>
    <sheetView topLeftCell="C1" zoomScale="97" zoomScaleNormal="97" zoomScalePageLayoutView="125" workbookViewId="0">
      <selection activeCell="R8" sqref="R8"/>
    </sheetView>
  </sheetViews>
  <sheetFormatPr defaultColWidth="8.88671875" defaultRowHeight="13.2"/>
  <cols>
    <col min="1" max="1" width="40.88671875" customWidth="1"/>
    <col min="2" max="3" width="12.44140625" style="314" customWidth="1"/>
    <col min="4" max="4" width="8.44140625" style="314" customWidth="1"/>
    <col min="5" max="5" width="12.44140625" style="314" customWidth="1"/>
    <col min="6" max="6" width="10.6640625" style="314" customWidth="1"/>
    <col min="7" max="8" width="12.44140625" style="314" customWidth="1"/>
    <col min="9" max="9" width="9.33203125" customWidth="1"/>
    <col min="10" max="10" width="9.33203125" style="370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1" customWidth="1"/>
    <col min="25" max="25" width="10" style="41" customWidth="1"/>
    <col min="26" max="27" width="8.6640625" style="41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8" thickBot="1">
      <c r="A1" s="117" t="s">
        <v>208</v>
      </c>
      <c r="B1" s="7"/>
      <c r="C1" s="247"/>
      <c r="D1" s="247"/>
      <c r="E1" s="247"/>
      <c r="F1" s="247"/>
      <c r="G1" s="247"/>
      <c r="H1" s="247"/>
      <c r="I1" s="21"/>
      <c r="J1" s="361" t="s">
        <v>99</v>
      </c>
      <c r="K1" s="212"/>
      <c r="L1" s="212"/>
      <c r="M1" s="21"/>
      <c r="N1" s="211" t="s">
        <v>100</v>
      </c>
      <c r="O1" s="212"/>
      <c r="P1" s="212"/>
      <c r="Q1" s="28"/>
      <c r="R1" s="118"/>
      <c r="S1" s="82"/>
      <c r="T1" s="83"/>
      <c r="U1" s="83"/>
      <c r="V1" s="83"/>
      <c r="W1" s="83"/>
      <c r="X1" s="83"/>
      <c r="Y1" s="83"/>
      <c r="Z1" s="83"/>
      <c r="AA1" s="83"/>
      <c r="AB1" s="84"/>
      <c r="AC1" s="85"/>
      <c r="AD1" s="86"/>
      <c r="AE1" s="60"/>
      <c r="AF1" s="1"/>
      <c r="AG1" s="1"/>
      <c r="AH1" s="1"/>
    </row>
    <row r="2" spans="1:37" ht="18" thickBot="1">
      <c r="A2" s="418" t="s">
        <v>182</v>
      </c>
      <c r="B2" s="7"/>
      <c r="C2" s="247"/>
      <c r="D2" s="247"/>
      <c r="E2" s="247"/>
      <c r="F2" s="247"/>
      <c r="G2" s="247"/>
      <c r="H2" s="263"/>
      <c r="I2" s="24"/>
      <c r="J2" s="362" t="s">
        <v>101</v>
      </c>
      <c r="K2" s="213"/>
      <c r="L2" s="214"/>
      <c r="M2" s="21"/>
      <c r="N2" s="215" t="s">
        <v>102</v>
      </c>
      <c r="O2" s="213"/>
      <c r="P2" s="214"/>
      <c r="Q2" s="52"/>
      <c r="R2" s="120"/>
      <c r="S2" s="89"/>
      <c r="T2" s="89"/>
      <c r="U2" s="83"/>
      <c r="V2" s="83"/>
      <c r="W2" s="83"/>
      <c r="X2" s="83"/>
      <c r="Y2" s="83"/>
      <c r="Z2" s="83"/>
      <c r="AA2" s="83"/>
      <c r="AB2" s="84"/>
      <c r="AC2" s="85"/>
      <c r="AD2" s="86"/>
      <c r="AE2" s="60"/>
      <c r="AF2" s="1"/>
      <c r="AG2" s="1"/>
      <c r="AH2" s="1"/>
    </row>
    <row r="3" spans="1:37" ht="15.6">
      <c r="A3" s="417" t="s">
        <v>189</v>
      </c>
      <c r="B3" s="63"/>
      <c r="C3" s="263"/>
      <c r="D3" s="263"/>
      <c r="E3" s="263"/>
      <c r="F3" s="263"/>
      <c r="G3" s="263"/>
      <c r="J3" s="363"/>
      <c r="K3" s="24"/>
      <c r="L3" s="216"/>
      <c r="M3" s="24"/>
      <c r="N3" s="217"/>
      <c r="O3" s="24"/>
      <c r="P3" s="216"/>
      <c r="Q3" s="23"/>
      <c r="R3" s="121"/>
      <c r="S3" s="91"/>
      <c r="T3" s="89"/>
      <c r="U3" s="83"/>
      <c r="V3" s="83"/>
      <c r="W3" s="83"/>
      <c r="X3" s="83"/>
      <c r="Y3" s="83"/>
      <c r="Z3" s="83"/>
      <c r="AA3" s="83"/>
      <c r="AB3" s="84"/>
      <c r="AC3" s="85"/>
      <c r="AD3" s="86"/>
      <c r="AE3" s="60"/>
      <c r="AF3" s="1"/>
      <c r="AG3" s="1"/>
      <c r="AH3" s="1"/>
    </row>
    <row r="4" spans="1:37" ht="52.8">
      <c r="A4" s="218" t="s">
        <v>103</v>
      </c>
      <c r="B4" s="220" t="s">
        <v>104</v>
      </c>
      <c r="C4" s="219" t="s">
        <v>105</v>
      </c>
      <c r="D4" s="219" t="s">
        <v>106</v>
      </c>
      <c r="E4" s="219" t="s">
        <v>107</v>
      </c>
      <c r="F4" s="219" t="s">
        <v>108</v>
      </c>
      <c r="G4" s="220" t="s">
        <v>135</v>
      </c>
      <c r="H4" s="219" t="s">
        <v>109</v>
      </c>
      <c r="I4" s="221"/>
      <c r="J4" s="364" t="s">
        <v>110</v>
      </c>
      <c r="K4" s="220" t="s">
        <v>111</v>
      </c>
      <c r="L4" s="223" t="s">
        <v>112</v>
      </c>
      <c r="M4" s="224"/>
      <c r="N4" s="222" t="s">
        <v>113</v>
      </c>
      <c r="O4" s="220" t="s">
        <v>121</v>
      </c>
      <c r="P4" s="223" t="s">
        <v>90</v>
      </c>
      <c r="Q4" s="23"/>
      <c r="R4" s="121"/>
      <c r="S4" s="91"/>
      <c r="T4" s="89"/>
      <c r="U4" s="83"/>
      <c r="V4" s="83"/>
      <c r="W4" s="83"/>
      <c r="X4" s="83"/>
      <c r="Y4" s="83"/>
      <c r="Z4" s="83"/>
      <c r="AA4" s="83"/>
      <c r="AB4" s="84"/>
      <c r="AC4" s="85"/>
      <c r="AD4" s="86"/>
      <c r="AE4" s="60"/>
      <c r="AF4" s="1"/>
      <c r="AG4" s="1"/>
      <c r="AH4" s="1"/>
    </row>
    <row r="5" spans="1:37" ht="14.4">
      <c r="A5" s="319" t="s">
        <v>190</v>
      </c>
      <c r="B5" s="476" t="s">
        <v>227</v>
      </c>
      <c r="C5" s="476" t="s">
        <v>227</v>
      </c>
      <c r="D5" s="476" t="s">
        <v>227</v>
      </c>
      <c r="E5" s="476" t="s">
        <v>227</v>
      </c>
      <c r="F5" s="476" t="s">
        <v>227</v>
      </c>
      <c r="G5" s="476" t="s">
        <v>227</v>
      </c>
      <c r="H5" s="476" t="s">
        <v>227</v>
      </c>
      <c r="I5" s="413"/>
      <c r="J5" s="415">
        <v>193.23</v>
      </c>
      <c r="K5" s="477">
        <v>245.5</v>
      </c>
      <c r="L5" s="488">
        <f>RANK(K5,$K$5:$K$17)</f>
        <v>4</v>
      </c>
      <c r="M5" s="225"/>
      <c r="N5" s="415">
        <v>520.1</v>
      </c>
      <c r="O5" s="487">
        <v>20.56</v>
      </c>
      <c r="P5" s="476">
        <f>RANK(O5,$O$5:$O$17)</f>
        <v>8</v>
      </c>
      <c r="Q5" s="28"/>
      <c r="R5" s="275">
        <f>K5+O5</f>
        <v>266.06</v>
      </c>
      <c r="S5" s="82"/>
      <c r="T5" s="82"/>
      <c r="U5" s="82"/>
      <c r="V5" s="82"/>
      <c r="W5" s="82"/>
      <c r="X5" s="82"/>
      <c r="Y5" s="82"/>
      <c r="Z5" s="82"/>
      <c r="AA5" s="82"/>
      <c r="AB5" s="81"/>
      <c r="AC5" s="92"/>
      <c r="AD5" s="93"/>
    </row>
    <row r="6" spans="1:37" ht="14.4">
      <c r="A6" s="319" t="s">
        <v>191</v>
      </c>
      <c r="B6" s="476" t="s">
        <v>227</v>
      </c>
      <c r="C6" s="476" t="s">
        <v>227</v>
      </c>
      <c r="D6" s="476" t="s">
        <v>227</v>
      </c>
      <c r="E6" s="476" t="s">
        <v>227</v>
      </c>
      <c r="F6" s="476" t="s">
        <v>227</v>
      </c>
      <c r="G6" s="476" t="s">
        <v>227</v>
      </c>
      <c r="H6" s="476" t="s">
        <v>227</v>
      </c>
      <c r="I6" s="413"/>
      <c r="J6" s="484">
        <v>174.09</v>
      </c>
      <c r="K6" s="485">
        <v>183.29</v>
      </c>
      <c r="L6" s="488">
        <f t="shared" ref="L6:L17" si="0">RANK(K6,$K$5:$K$17)</f>
        <v>7</v>
      </c>
      <c r="M6" s="225"/>
      <c r="N6" s="484">
        <v>394.49</v>
      </c>
      <c r="O6" s="471">
        <v>35.5</v>
      </c>
      <c r="P6" s="476">
        <f t="shared" ref="P6:P17" si="1">RANK(O6,$O$5:$O$17)</f>
        <v>4</v>
      </c>
      <c r="Q6" s="28"/>
      <c r="R6" s="275">
        <f t="shared" ref="R6:R17" si="2">K6+O6</f>
        <v>218.79</v>
      </c>
      <c r="S6" s="82"/>
      <c r="T6" s="82"/>
      <c r="U6" s="82"/>
      <c r="V6" s="82"/>
      <c r="W6" s="82"/>
      <c r="X6" s="82"/>
      <c r="Y6" s="82"/>
      <c r="Z6" s="82"/>
      <c r="AA6" s="82"/>
      <c r="AB6" s="81"/>
      <c r="AC6" s="92"/>
      <c r="AD6" s="93"/>
      <c r="AJ6" s="31"/>
      <c r="AK6" s="31"/>
    </row>
    <row r="7" spans="1:37" ht="14.4">
      <c r="A7" s="319" t="s">
        <v>192</v>
      </c>
      <c r="B7" s="476" t="s">
        <v>227</v>
      </c>
      <c r="C7" s="476" t="s">
        <v>227</v>
      </c>
      <c r="D7" s="476" t="s">
        <v>227</v>
      </c>
      <c r="E7" s="476" t="s">
        <v>227</v>
      </c>
      <c r="F7" s="476" t="s">
        <v>227</v>
      </c>
      <c r="G7" s="476" t="s">
        <v>227</v>
      </c>
      <c r="H7" s="476" t="s">
        <v>227</v>
      </c>
      <c r="I7" s="478"/>
      <c r="J7" s="484">
        <v>203.49</v>
      </c>
      <c r="K7" s="485">
        <v>278.83999999999997</v>
      </c>
      <c r="L7" s="488">
        <f t="shared" si="0"/>
        <v>2</v>
      </c>
      <c r="M7" s="225"/>
      <c r="N7" s="484">
        <v>475.5</v>
      </c>
      <c r="O7" s="471">
        <v>25.86</v>
      </c>
      <c r="P7" s="476">
        <f t="shared" si="1"/>
        <v>6</v>
      </c>
      <c r="Q7" s="28"/>
      <c r="R7" s="275">
        <f t="shared" si="2"/>
        <v>304.7</v>
      </c>
      <c r="S7" s="82"/>
      <c r="T7" s="82"/>
      <c r="U7" s="82"/>
      <c r="V7" s="82"/>
      <c r="W7" s="82"/>
      <c r="X7" s="82"/>
      <c r="Y7" s="82"/>
      <c r="Z7" s="82"/>
      <c r="AA7" s="82"/>
      <c r="AB7" s="81"/>
      <c r="AC7" s="92"/>
      <c r="AD7" s="93"/>
      <c r="AJ7" s="31"/>
      <c r="AK7" s="31"/>
    </row>
    <row r="8" spans="1:37" s="206" customFormat="1" ht="14.4">
      <c r="A8" s="432" t="s">
        <v>213</v>
      </c>
      <c r="B8" s="476"/>
      <c r="C8" s="476"/>
      <c r="D8" s="476"/>
      <c r="E8" s="476"/>
      <c r="F8" s="476"/>
      <c r="G8" s="476"/>
      <c r="H8" s="476"/>
      <c r="I8" s="413"/>
      <c r="J8" s="484"/>
      <c r="K8" s="485"/>
      <c r="L8" s="488" t="s">
        <v>46</v>
      </c>
      <c r="M8" s="236"/>
      <c r="N8" s="484"/>
      <c r="O8" s="471"/>
      <c r="P8" s="476" t="s">
        <v>46</v>
      </c>
      <c r="Q8" s="232"/>
      <c r="R8" s="275">
        <f t="shared" si="2"/>
        <v>0</v>
      </c>
      <c r="S8" s="237"/>
      <c r="T8" s="237"/>
      <c r="U8" s="237"/>
      <c r="V8" s="237"/>
      <c r="W8" s="237"/>
      <c r="X8" s="237"/>
      <c r="Y8" s="237"/>
      <c r="Z8" s="237"/>
      <c r="AA8" s="237"/>
      <c r="AB8" s="210"/>
      <c r="AD8" s="208"/>
      <c r="AE8" s="208"/>
      <c r="AJ8" s="238"/>
      <c r="AK8" s="238"/>
    </row>
    <row r="9" spans="1:37" ht="14.4">
      <c r="A9" s="319" t="s">
        <v>193</v>
      </c>
      <c r="B9" s="476" t="s">
        <v>227</v>
      </c>
      <c r="C9" s="476" t="s">
        <v>227</v>
      </c>
      <c r="D9" s="476" t="s">
        <v>227</v>
      </c>
      <c r="E9" s="476" t="s">
        <v>227</v>
      </c>
      <c r="F9" s="476" t="s">
        <v>227</v>
      </c>
      <c r="G9" s="476" t="s">
        <v>227</v>
      </c>
      <c r="H9" s="476" t="s">
        <v>227</v>
      </c>
      <c r="I9" s="413"/>
      <c r="J9" s="484">
        <v>179.03</v>
      </c>
      <c r="K9" s="485">
        <v>199.35</v>
      </c>
      <c r="L9" s="488">
        <f t="shared" si="0"/>
        <v>6</v>
      </c>
      <c r="M9" s="236"/>
      <c r="N9" s="484">
        <v>365.37</v>
      </c>
      <c r="O9" s="471">
        <v>38.96</v>
      </c>
      <c r="P9" s="476">
        <f t="shared" si="1"/>
        <v>3</v>
      </c>
      <c r="Q9" s="28"/>
      <c r="R9" s="275">
        <f t="shared" si="2"/>
        <v>238.31</v>
      </c>
      <c r="S9" s="82"/>
      <c r="T9" s="82"/>
      <c r="U9" s="82"/>
      <c r="V9" s="82"/>
      <c r="W9" s="82"/>
      <c r="X9" s="82"/>
      <c r="Y9" s="82"/>
      <c r="Z9" s="82"/>
      <c r="AA9" s="82"/>
      <c r="AB9" s="81"/>
      <c r="AC9" s="92"/>
      <c r="AD9" s="93"/>
      <c r="AJ9" s="31"/>
      <c r="AK9" s="31"/>
    </row>
    <row r="10" spans="1:37" ht="14.4">
      <c r="A10" s="319" t="s">
        <v>194</v>
      </c>
      <c r="B10" s="476"/>
      <c r="C10" s="476"/>
      <c r="D10" s="476"/>
      <c r="E10" s="476"/>
      <c r="F10" s="476"/>
      <c r="G10" s="476"/>
      <c r="H10" s="476"/>
      <c r="I10" s="414"/>
      <c r="J10" s="484"/>
      <c r="K10" s="485"/>
      <c r="L10" s="488" t="s">
        <v>46</v>
      </c>
      <c r="M10" s="225"/>
      <c r="N10" s="484"/>
      <c r="O10" s="471"/>
      <c r="P10" s="476" t="s">
        <v>46</v>
      </c>
      <c r="Q10" s="28"/>
      <c r="R10" s="275">
        <f t="shared" si="2"/>
        <v>0</v>
      </c>
      <c r="S10" s="95"/>
      <c r="T10" s="95"/>
      <c r="U10" s="95"/>
      <c r="V10" s="82"/>
      <c r="W10" s="82"/>
      <c r="X10" s="82"/>
      <c r="Y10" s="82"/>
      <c r="Z10" s="82"/>
      <c r="AA10" s="82"/>
      <c r="AB10" s="81"/>
      <c r="AC10" s="92"/>
      <c r="AD10" s="93"/>
      <c r="AJ10" s="31"/>
      <c r="AK10" s="31"/>
    </row>
    <row r="11" spans="1:37" ht="14.4">
      <c r="A11" s="383" t="s">
        <v>195</v>
      </c>
      <c r="B11" s="476" t="s">
        <v>227</v>
      </c>
      <c r="C11" s="476" t="s">
        <v>227</v>
      </c>
      <c r="D11" s="476" t="s">
        <v>227</v>
      </c>
      <c r="E11" s="476" t="s">
        <v>227</v>
      </c>
      <c r="F11" s="476" t="s">
        <v>227</v>
      </c>
      <c r="G11" s="476" t="s">
        <v>227</v>
      </c>
      <c r="H11" s="476" t="s">
        <v>227</v>
      </c>
      <c r="I11" s="413"/>
      <c r="J11" s="484">
        <v>207.06</v>
      </c>
      <c r="K11" s="485">
        <v>290.44</v>
      </c>
      <c r="L11" s="488">
        <f t="shared" si="0"/>
        <v>1</v>
      </c>
      <c r="M11" s="225"/>
      <c r="N11" s="484">
        <v>272.57</v>
      </c>
      <c r="O11" s="471">
        <v>50</v>
      </c>
      <c r="P11" s="476">
        <f t="shared" si="1"/>
        <v>1</v>
      </c>
      <c r="Q11" s="28"/>
      <c r="R11" s="275">
        <f t="shared" si="2"/>
        <v>340.44</v>
      </c>
      <c r="S11" s="95"/>
      <c r="T11" s="95"/>
      <c r="U11" s="95"/>
      <c r="V11" s="82"/>
      <c r="W11" s="82"/>
      <c r="X11" s="82"/>
      <c r="Y11" s="82"/>
      <c r="Z11" s="82"/>
      <c r="AA11" s="82"/>
      <c r="AB11" s="81"/>
      <c r="AC11" s="92"/>
      <c r="AD11" s="93"/>
      <c r="AJ11" s="31"/>
      <c r="AK11" s="31"/>
    </row>
    <row r="12" spans="1:37" ht="14.4">
      <c r="A12" s="319" t="s">
        <v>196</v>
      </c>
      <c r="B12" s="476" t="s">
        <v>227</v>
      </c>
      <c r="C12" s="476" t="s">
        <v>227</v>
      </c>
      <c r="D12" s="476" t="s">
        <v>228</v>
      </c>
      <c r="E12" s="476" t="s">
        <v>227</v>
      </c>
      <c r="F12" s="476" t="s">
        <v>228</v>
      </c>
      <c r="G12" s="476" t="s">
        <v>228</v>
      </c>
      <c r="H12" s="476" t="s">
        <v>228</v>
      </c>
      <c r="I12" s="413"/>
      <c r="J12" s="484">
        <v>87.13</v>
      </c>
      <c r="K12" s="485">
        <v>20</v>
      </c>
      <c r="L12" s="488">
        <f t="shared" si="0"/>
        <v>8</v>
      </c>
      <c r="M12" s="225"/>
      <c r="N12" s="484">
        <v>671.95</v>
      </c>
      <c r="O12" s="471">
        <v>2.5</v>
      </c>
      <c r="P12" s="476">
        <f t="shared" si="1"/>
        <v>9</v>
      </c>
      <c r="Q12" s="28"/>
      <c r="R12" s="275">
        <f t="shared" si="2"/>
        <v>22.5</v>
      </c>
      <c r="S12" s="95"/>
      <c r="T12" s="95"/>
      <c r="U12" s="95"/>
      <c r="V12" s="82"/>
      <c r="W12" s="82"/>
      <c r="X12" s="82"/>
      <c r="Y12" s="82"/>
      <c r="Z12" s="82"/>
      <c r="AA12" s="82"/>
      <c r="AB12" s="81"/>
      <c r="AC12" s="92"/>
      <c r="AD12" s="93"/>
      <c r="AJ12" s="31"/>
      <c r="AK12" s="31"/>
    </row>
    <row r="13" spans="1:37" ht="14.4">
      <c r="A13" s="319" t="s">
        <v>197</v>
      </c>
      <c r="B13" s="476"/>
      <c r="C13" s="476"/>
      <c r="D13" s="476"/>
      <c r="E13" s="476"/>
      <c r="F13" s="476"/>
      <c r="G13" s="476"/>
      <c r="H13" s="476"/>
      <c r="I13" s="413"/>
      <c r="J13" s="484"/>
      <c r="K13" s="485"/>
      <c r="L13" s="488" t="s">
        <v>46</v>
      </c>
      <c r="M13" s="225"/>
      <c r="N13" s="484"/>
      <c r="O13" s="471"/>
      <c r="P13" s="476" t="s">
        <v>46</v>
      </c>
      <c r="Q13" s="28"/>
      <c r="R13" s="275">
        <f t="shared" si="2"/>
        <v>0</v>
      </c>
      <c r="S13" s="82"/>
      <c r="T13" s="82"/>
      <c r="U13" s="82"/>
      <c r="V13" s="82"/>
      <c r="W13" s="82"/>
      <c r="X13" s="82"/>
      <c r="Y13" s="82"/>
      <c r="Z13" s="82"/>
      <c r="AA13" s="82"/>
      <c r="AB13" s="81"/>
      <c r="AC13" s="92"/>
      <c r="AD13" s="93"/>
      <c r="AJ13" s="31"/>
      <c r="AK13" s="31"/>
    </row>
    <row r="14" spans="1:37" ht="14.4">
      <c r="A14" s="319" t="s">
        <v>198</v>
      </c>
      <c r="B14" s="476" t="s">
        <v>227</v>
      </c>
      <c r="C14" s="476" t="s">
        <v>227</v>
      </c>
      <c r="D14" s="476" t="s">
        <v>227</v>
      </c>
      <c r="E14" s="476" t="s">
        <v>227</v>
      </c>
      <c r="F14" s="476" t="s">
        <v>227</v>
      </c>
      <c r="G14" s="476" t="s">
        <v>228</v>
      </c>
      <c r="H14" s="476" t="s">
        <v>228</v>
      </c>
      <c r="I14" s="414"/>
      <c r="J14" s="484">
        <v>194.4</v>
      </c>
      <c r="K14" s="485">
        <v>20</v>
      </c>
      <c r="L14" s="488">
        <f t="shared" si="0"/>
        <v>8</v>
      </c>
      <c r="M14" s="225"/>
      <c r="N14" s="484">
        <v>317.7</v>
      </c>
      <c r="O14" s="471">
        <v>44.63</v>
      </c>
      <c r="P14" s="476">
        <f t="shared" si="1"/>
        <v>2</v>
      </c>
      <c r="Q14" s="28"/>
      <c r="R14" s="275">
        <f t="shared" si="2"/>
        <v>64.63</v>
      </c>
      <c r="S14" s="82"/>
      <c r="T14" s="82"/>
      <c r="U14" s="82"/>
      <c r="V14" s="82"/>
      <c r="W14" s="82"/>
      <c r="X14" s="82"/>
      <c r="Y14" s="82"/>
      <c r="Z14" s="82"/>
      <c r="AA14" s="82"/>
      <c r="AB14" s="81"/>
      <c r="AC14" s="92"/>
      <c r="AD14" s="93"/>
      <c r="AJ14" s="31"/>
      <c r="AK14" s="31"/>
    </row>
    <row r="15" spans="1:37" ht="14.4">
      <c r="A15" s="429" t="s">
        <v>199</v>
      </c>
      <c r="B15" s="476" t="s">
        <v>227</v>
      </c>
      <c r="C15" s="476" t="s">
        <v>227</v>
      </c>
      <c r="D15" s="476" t="s">
        <v>227</v>
      </c>
      <c r="E15" s="476" t="s">
        <v>227</v>
      </c>
      <c r="F15" s="476" t="s">
        <v>227</v>
      </c>
      <c r="G15" s="476" t="s">
        <v>227</v>
      </c>
      <c r="H15" s="476" t="s">
        <v>227</v>
      </c>
      <c r="I15" s="414"/>
      <c r="J15" s="484">
        <v>192.5</v>
      </c>
      <c r="K15" s="485">
        <v>243.13</v>
      </c>
      <c r="L15" s="488">
        <f t="shared" si="0"/>
        <v>5</v>
      </c>
      <c r="M15" s="225"/>
      <c r="N15" s="484">
        <v>411.04</v>
      </c>
      <c r="O15" s="471">
        <v>33.53</v>
      </c>
      <c r="P15" s="476">
        <f t="shared" si="1"/>
        <v>5</v>
      </c>
      <c r="Q15" s="28"/>
      <c r="R15" s="275">
        <f t="shared" si="2"/>
        <v>276.65999999999997</v>
      </c>
      <c r="S15" s="82"/>
      <c r="T15" s="82"/>
      <c r="U15" s="82"/>
      <c r="V15" s="82"/>
      <c r="W15" s="82"/>
      <c r="X15" s="82"/>
      <c r="Y15" s="82"/>
      <c r="Z15" s="82"/>
      <c r="AA15" s="82"/>
      <c r="AB15" s="81"/>
      <c r="AC15" s="92"/>
      <c r="AD15" s="93"/>
      <c r="AJ15" s="31"/>
      <c r="AK15" s="31"/>
    </row>
    <row r="16" spans="1:37" ht="14.4">
      <c r="A16" s="435" t="s">
        <v>216</v>
      </c>
      <c r="B16" s="476"/>
      <c r="C16" s="476"/>
      <c r="D16" s="476"/>
      <c r="E16" s="476"/>
      <c r="F16" s="476"/>
      <c r="G16" s="476"/>
      <c r="H16" s="476"/>
      <c r="I16" s="414"/>
      <c r="J16" s="484"/>
      <c r="K16" s="485"/>
      <c r="L16" s="488" t="s">
        <v>46</v>
      </c>
      <c r="M16" s="225"/>
      <c r="N16" s="484"/>
      <c r="O16" s="471"/>
      <c r="P16" s="476" t="s">
        <v>46</v>
      </c>
      <c r="Q16" s="28"/>
      <c r="R16" s="275">
        <f t="shared" si="2"/>
        <v>0</v>
      </c>
      <c r="S16" s="82"/>
      <c r="T16" s="82"/>
      <c r="U16" s="82"/>
      <c r="V16" s="82"/>
      <c r="W16" s="82"/>
      <c r="X16" s="82"/>
      <c r="Y16" s="82"/>
      <c r="Z16" s="82"/>
      <c r="AA16" s="82"/>
      <c r="AB16" s="81"/>
      <c r="AC16" s="92"/>
      <c r="AD16" s="93"/>
      <c r="AJ16" s="31"/>
      <c r="AK16" s="31"/>
    </row>
    <row r="17" spans="1:37" s="140" customFormat="1" ht="14.4">
      <c r="A17" s="429" t="s">
        <v>200</v>
      </c>
      <c r="B17" s="476" t="s">
        <v>227</v>
      </c>
      <c r="C17" s="476" t="s">
        <v>227</v>
      </c>
      <c r="D17" s="476" t="s">
        <v>227</v>
      </c>
      <c r="E17" s="476" t="s">
        <v>227</v>
      </c>
      <c r="F17" s="476" t="s">
        <v>227</v>
      </c>
      <c r="G17" s="476" t="s">
        <v>227</v>
      </c>
      <c r="H17" s="476" t="s">
        <v>227</v>
      </c>
      <c r="I17" s="414"/>
      <c r="J17" s="484">
        <v>201.04</v>
      </c>
      <c r="K17" s="485">
        <v>270.88</v>
      </c>
      <c r="L17" s="488">
        <f t="shared" si="0"/>
        <v>3</v>
      </c>
      <c r="M17" s="225"/>
      <c r="N17" s="484">
        <v>488.4</v>
      </c>
      <c r="O17" s="471">
        <v>24.33</v>
      </c>
      <c r="P17" s="476">
        <f t="shared" si="1"/>
        <v>7</v>
      </c>
      <c r="Q17" s="148"/>
      <c r="R17" s="275">
        <f t="shared" si="2"/>
        <v>295.20999999999998</v>
      </c>
      <c r="S17" s="150"/>
      <c r="T17" s="150"/>
      <c r="U17" s="150"/>
      <c r="V17" s="150"/>
      <c r="W17" s="150"/>
      <c r="X17" s="150"/>
      <c r="Y17" s="150"/>
      <c r="Z17" s="150"/>
      <c r="AA17" s="150"/>
      <c r="AB17" s="134"/>
      <c r="AC17" s="143"/>
      <c r="AD17" s="142"/>
      <c r="AE17" s="139"/>
      <c r="AJ17" s="151"/>
      <c r="AK17" s="151"/>
    </row>
    <row r="18" spans="1:37">
      <c r="A18" s="87"/>
      <c r="B18" s="263"/>
      <c r="C18" s="131"/>
      <c r="D18" s="249"/>
      <c r="E18" s="249"/>
      <c r="F18" s="249"/>
      <c r="G18" s="249"/>
      <c r="H18" s="490" t="s">
        <v>78</v>
      </c>
      <c r="I18" s="491"/>
      <c r="J18" s="492">
        <f>+J6</f>
        <v>174.09</v>
      </c>
      <c r="K18" s="493">
        <v>100</v>
      </c>
      <c r="L18" s="489"/>
      <c r="M18" s="494"/>
      <c r="N18" s="492">
        <v>272.57</v>
      </c>
      <c r="O18" s="495">
        <v>2.5</v>
      </c>
      <c r="P18" s="96"/>
      <c r="Q18" s="84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11"/>
      <c r="AC18" s="109"/>
      <c r="AD18" s="112"/>
      <c r="AE18" s="48"/>
      <c r="AF18" s="32"/>
      <c r="AG18" s="32"/>
      <c r="AH18" s="32"/>
      <c r="AI18" s="32"/>
      <c r="AJ18" s="31"/>
      <c r="AK18" s="31"/>
    </row>
    <row r="19" spans="1:37">
      <c r="A19" s="87"/>
      <c r="B19" s="263"/>
      <c r="C19" s="249"/>
      <c r="D19" s="249"/>
      <c r="E19" s="249"/>
      <c r="F19" s="249"/>
      <c r="G19" s="249"/>
      <c r="H19" s="490" t="s">
        <v>77</v>
      </c>
      <c r="I19" s="491"/>
      <c r="J19" s="492">
        <v>207.06</v>
      </c>
      <c r="K19" s="493">
        <v>300</v>
      </c>
      <c r="L19" s="495"/>
      <c r="M19" s="495"/>
      <c r="N19" s="492">
        <v>671.95</v>
      </c>
      <c r="O19" s="495">
        <v>50</v>
      </c>
      <c r="P19" s="96"/>
      <c r="Q19" s="94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04"/>
      <c r="AC19" s="110"/>
      <c r="AD19" s="114"/>
      <c r="AE19" s="48"/>
      <c r="AF19" s="32"/>
      <c r="AG19" s="32"/>
      <c r="AH19" s="32"/>
      <c r="AI19" s="32"/>
      <c r="AJ19" s="31"/>
      <c r="AK19" s="31"/>
    </row>
    <row r="20" spans="1:37" ht="14.4">
      <c r="A20" s="87"/>
      <c r="B20" s="263"/>
      <c r="C20" s="249"/>
      <c r="D20" s="178" t="s">
        <v>46</v>
      </c>
      <c r="E20" s="177" t="s">
        <v>46</v>
      </c>
      <c r="F20" s="249"/>
      <c r="G20" s="249"/>
      <c r="H20" s="249"/>
      <c r="I20" s="96"/>
      <c r="J20" s="486"/>
      <c r="K20" s="483"/>
      <c r="L20" s="96"/>
      <c r="M20" s="96"/>
      <c r="N20" s="486"/>
      <c r="O20" s="471"/>
      <c r="P20" s="96"/>
      <c r="Q20" s="94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04"/>
      <c r="AC20" s="110"/>
      <c r="AD20" s="114"/>
      <c r="AE20" s="48"/>
      <c r="AF20" s="32"/>
      <c r="AG20" s="32"/>
      <c r="AH20" s="32"/>
      <c r="AI20" s="32"/>
      <c r="AJ20" s="31"/>
      <c r="AK20" s="31"/>
    </row>
    <row r="21" spans="1:37" ht="14.4">
      <c r="B21" s="263"/>
      <c r="C21" s="261"/>
      <c r="D21" s="176"/>
      <c r="E21" s="176"/>
      <c r="F21" s="261"/>
      <c r="G21" s="356" t="s">
        <v>46</v>
      </c>
      <c r="H21" s="261"/>
      <c r="I21" s="88"/>
      <c r="J21" s="486"/>
      <c r="K21" s="483"/>
      <c r="L21" s="88"/>
      <c r="M21" s="88"/>
      <c r="N21" s="486"/>
      <c r="O21" s="471"/>
      <c r="P21" s="88"/>
      <c r="Q21" s="94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04"/>
      <c r="AC21" s="115"/>
      <c r="AD21" s="114"/>
    </row>
    <row r="22" spans="1:37">
      <c r="B22" s="314" t="s">
        <v>114</v>
      </c>
      <c r="H22" s="410"/>
      <c r="I22" s="475"/>
      <c r="J22" s="410" t="s">
        <v>144</v>
      </c>
      <c r="K22" s="410">
        <v>1.67</v>
      </c>
      <c r="L22" s="96"/>
      <c r="M22" s="96"/>
      <c r="N22" s="486"/>
      <c r="O22" s="471"/>
      <c r="P22" s="96"/>
      <c r="Q22" s="94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04"/>
      <c r="AC22" s="115"/>
      <c r="AD22" s="114"/>
    </row>
    <row r="23" spans="1:37">
      <c r="B23" s="314" t="s">
        <v>115</v>
      </c>
      <c r="G23" s="410"/>
      <c r="H23" s="410"/>
      <c r="I23" s="475"/>
      <c r="J23" s="410" t="s">
        <v>145</v>
      </c>
      <c r="K23" s="256">
        <v>345</v>
      </c>
      <c r="L23" s="96"/>
      <c r="M23" s="96"/>
      <c r="N23" s="96"/>
      <c r="O23" s="96"/>
      <c r="P23" s="96"/>
      <c r="Q23" s="94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104"/>
      <c r="AC23" s="115"/>
      <c r="AD23" s="114"/>
    </row>
    <row r="24" spans="1:37">
      <c r="B24" s="314" t="s">
        <v>116</v>
      </c>
      <c r="I24" s="314"/>
      <c r="J24" s="475"/>
      <c r="K24" s="496"/>
      <c r="L24" s="88"/>
      <c r="M24" s="88"/>
      <c r="N24" s="96"/>
      <c r="O24" s="88"/>
      <c r="P24" s="88"/>
      <c r="Q24" s="94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04"/>
      <c r="AC24" s="115"/>
      <c r="AD24" s="114"/>
    </row>
    <row r="25" spans="1:37">
      <c r="A25" s="87"/>
      <c r="B25" s="249"/>
      <c r="C25" s="249" t="s">
        <v>85</v>
      </c>
      <c r="D25" s="249"/>
      <c r="E25" s="249"/>
      <c r="F25" s="249"/>
      <c r="G25" s="249"/>
      <c r="H25" s="249"/>
      <c r="I25" s="96"/>
      <c r="J25" s="96"/>
      <c r="K25" s="96"/>
      <c r="L25" s="96"/>
      <c r="M25" s="96"/>
      <c r="N25" s="96"/>
      <c r="O25" s="96"/>
      <c r="P25" s="103"/>
      <c r="Q25" s="94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04"/>
      <c r="AC25" s="115"/>
      <c r="AD25" s="114"/>
    </row>
    <row r="26" spans="1:37">
      <c r="A26" s="87"/>
      <c r="B26" s="261"/>
      <c r="C26" s="261"/>
      <c r="D26" s="261"/>
      <c r="E26" s="261"/>
      <c r="F26" s="261"/>
      <c r="G26" s="261"/>
      <c r="H26" s="261"/>
      <c r="I26" s="88"/>
      <c r="J26" s="96"/>
      <c r="K26" s="88"/>
      <c r="L26" s="88"/>
      <c r="M26" s="88"/>
      <c r="N26" s="88"/>
      <c r="O26" s="88"/>
      <c r="P26" s="103"/>
      <c r="Q26" s="94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104"/>
      <c r="AC26" s="115"/>
      <c r="AD26" s="114"/>
    </row>
    <row r="27" spans="1:37">
      <c r="A27" s="87"/>
      <c r="B27" s="261"/>
      <c r="C27" s="261"/>
      <c r="D27" s="261"/>
      <c r="E27" s="261"/>
      <c r="F27" s="261"/>
      <c r="G27" s="261"/>
      <c r="H27" s="261"/>
      <c r="I27" s="88"/>
      <c r="J27" s="96"/>
      <c r="K27" s="88"/>
      <c r="L27" s="88"/>
      <c r="M27" s="88"/>
      <c r="N27" s="88"/>
      <c r="O27" s="88"/>
      <c r="P27" s="103"/>
      <c r="Q27" s="94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104"/>
      <c r="AC27" s="115"/>
      <c r="AD27" s="114"/>
    </row>
    <row r="28" spans="1:37" ht="15">
      <c r="A28" s="393"/>
      <c r="B28" s="311"/>
      <c r="C28" s="311"/>
      <c r="D28" s="311"/>
      <c r="E28" s="394" t="s">
        <v>176</v>
      </c>
      <c r="F28" s="311"/>
      <c r="G28" s="311"/>
      <c r="H28" s="311"/>
      <c r="I28" s="96"/>
      <c r="J28" s="96"/>
      <c r="K28" s="96"/>
      <c r="L28" s="96"/>
      <c r="M28" s="96"/>
      <c r="N28" s="96"/>
      <c r="O28" s="96"/>
      <c r="P28" s="103"/>
      <c r="Q28" s="94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04"/>
      <c r="AC28" s="115"/>
      <c r="AD28" s="114"/>
    </row>
    <row r="29" spans="1:37">
      <c r="A29" s="87"/>
      <c r="B29" s="249"/>
      <c r="C29" s="249"/>
      <c r="D29" s="249"/>
      <c r="E29" s="249"/>
      <c r="F29" s="249"/>
      <c r="G29" s="249"/>
      <c r="H29" s="249"/>
      <c r="I29" s="96"/>
      <c r="J29" s="96"/>
      <c r="K29" s="96"/>
      <c r="L29" s="96"/>
      <c r="M29" s="96"/>
      <c r="N29" s="96"/>
      <c r="O29" s="96"/>
      <c r="P29" s="103"/>
      <c r="Q29" s="94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04"/>
      <c r="AC29" s="115"/>
      <c r="AD29" s="114"/>
    </row>
    <row r="30" spans="1:37">
      <c r="A30" s="87"/>
      <c r="B30" s="261"/>
      <c r="C30" s="261"/>
      <c r="D30" s="261"/>
      <c r="E30" s="261"/>
      <c r="F30" s="261"/>
      <c r="G30" s="261"/>
      <c r="H30" s="261"/>
      <c r="I30" s="88"/>
      <c r="J30" s="96"/>
      <c r="K30" s="88"/>
      <c r="L30" s="88"/>
      <c r="M30" s="88"/>
      <c r="N30" s="88"/>
      <c r="O30" s="88"/>
      <c r="P30" s="103"/>
      <c r="Q30" s="94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04"/>
      <c r="AC30" s="115"/>
      <c r="AD30" s="114"/>
    </row>
    <row r="31" spans="1:37">
      <c r="A31" s="87"/>
      <c r="B31" s="357"/>
      <c r="C31" s="249"/>
      <c r="D31" s="249"/>
      <c r="E31" s="249"/>
      <c r="F31" s="249"/>
      <c r="G31" s="249"/>
      <c r="H31" s="249"/>
      <c r="I31" s="96"/>
      <c r="J31" s="96"/>
      <c r="K31" s="96"/>
      <c r="L31" s="96"/>
      <c r="M31" s="96"/>
      <c r="N31" s="96"/>
      <c r="O31" s="96"/>
      <c r="P31" s="103"/>
      <c r="Q31" s="94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04"/>
      <c r="AC31" s="115"/>
      <c r="AD31" s="114"/>
    </row>
    <row r="32" spans="1:37">
      <c r="A32" s="87"/>
      <c r="B32" s="249"/>
      <c r="C32" s="249"/>
      <c r="D32" s="249"/>
      <c r="E32" s="249"/>
      <c r="F32" s="358"/>
      <c r="G32" s="249"/>
      <c r="H32" s="249"/>
      <c r="I32" s="96"/>
      <c r="J32" s="96"/>
      <c r="K32" s="96"/>
      <c r="L32" s="96"/>
      <c r="M32" s="96"/>
      <c r="N32" s="96"/>
      <c r="O32" s="96"/>
      <c r="P32" s="104"/>
      <c r="Q32" s="94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04"/>
      <c r="AC32" s="115"/>
      <c r="AD32" s="86"/>
    </row>
    <row r="33" spans="1:30">
      <c r="A33" s="87"/>
      <c r="B33" s="261"/>
      <c r="C33" s="261"/>
      <c r="D33" s="172"/>
      <c r="E33" s="173"/>
      <c r="F33" s="173"/>
      <c r="G33" s="73"/>
      <c r="H33" s="73"/>
      <c r="I33" s="88"/>
      <c r="J33" s="96"/>
      <c r="K33" s="88"/>
      <c r="L33" s="88"/>
      <c r="M33" s="88"/>
      <c r="N33" s="88"/>
      <c r="O33" s="88"/>
      <c r="P33" s="103"/>
      <c r="Q33" s="9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104"/>
      <c r="AC33" s="115"/>
      <c r="AD33" s="114"/>
    </row>
    <row r="34" spans="1:30">
      <c r="A34" s="87"/>
      <c r="B34" s="249"/>
      <c r="C34" s="249"/>
      <c r="D34" s="73"/>
      <c r="E34" s="73"/>
      <c r="F34" s="170"/>
      <c r="G34" s="73"/>
      <c r="H34" s="171"/>
      <c r="I34" s="168"/>
      <c r="J34" s="168"/>
      <c r="K34" s="168"/>
      <c r="L34" s="96"/>
      <c r="M34" s="96"/>
      <c r="N34" s="96"/>
      <c r="O34" s="96"/>
      <c r="P34" s="103"/>
      <c r="Q34" s="94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04"/>
      <c r="AC34" s="115"/>
      <c r="AD34" s="114"/>
    </row>
    <row r="35" spans="1:30">
      <c r="A35" s="81"/>
      <c r="B35" s="249"/>
      <c r="C35" s="261"/>
      <c r="D35" s="73"/>
      <c r="E35" s="73"/>
      <c r="F35" s="173"/>
      <c r="G35" s="73"/>
      <c r="H35" s="73"/>
      <c r="I35" s="88"/>
      <c r="J35" s="96"/>
      <c r="K35" s="88"/>
      <c r="L35" s="88"/>
      <c r="M35" s="88"/>
      <c r="N35" s="88"/>
      <c r="O35" s="88"/>
      <c r="P35" s="103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104"/>
      <c r="AC35" s="115"/>
      <c r="AD35" s="114"/>
    </row>
    <row r="36" spans="1:30">
      <c r="A36" s="81"/>
      <c r="B36" s="261"/>
      <c r="C36" s="261"/>
      <c r="D36" s="261"/>
      <c r="E36" s="261"/>
      <c r="F36" s="261"/>
      <c r="G36" s="261"/>
      <c r="H36" s="261"/>
      <c r="I36" s="88"/>
      <c r="J36" s="96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115"/>
      <c r="AD36" s="86"/>
    </row>
    <row r="37" spans="1:30">
      <c r="A37" s="81"/>
      <c r="B37" s="261"/>
      <c r="C37" s="261"/>
      <c r="D37" s="261"/>
      <c r="E37" s="261"/>
      <c r="F37" s="261"/>
      <c r="G37" s="261"/>
      <c r="H37" s="261"/>
      <c r="I37" s="88"/>
      <c r="J37" s="96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115"/>
      <c r="AD37" s="86"/>
    </row>
    <row r="38" spans="1:30">
      <c r="A38" s="106"/>
      <c r="B38" s="55"/>
      <c r="C38" s="55"/>
      <c r="D38" s="55"/>
      <c r="E38" s="55"/>
      <c r="F38" s="55"/>
      <c r="G38" s="55"/>
      <c r="H38" s="55"/>
      <c r="I38" s="90"/>
      <c r="J38" s="103"/>
      <c r="K38" s="90"/>
      <c r="L38" s="90"/>
      <c r="M38" s="90"/>
      <c r="N38" s="90"/>
      <c r="O38" s="90"/>
      <c r="P38" s="90"/>
      <c r="Q38" s="88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115"/>
      <c r="AD38" s="86"/>
    </row>
    <row r="39" spans="1:30">
      <c r="A39" s="87"/>
      <c r="B39" s="261"/>
      <c r="C39" s="261"/>
      <c r="D39" s="261"/>
      <c r="E39" s="261"/>
      <c r="F39" s="261"/>
      <c r="G39" s="261"/>
      <c r="H39" s="261"/>
      <c r="I39" s="88"/>
      <c r="J39" s="96"/>
      <c r="K39" s="88"/>
      <c r="L39" s="88"/>
      <c r="M39" s="88"/>
      <c r="N39" s="88"/>
      <c r="O39" s="88"/>
      <c r="P39" s="103"/>
      <c r="Q39" s="94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04"/>
      <c r="AC39" s="115"/>
      <c r="AD39" s="114"/>
    </row>
    <row r="40" spans="1:30">
      <c r="A40" s="87"/>
      <c r="B40" s="261"/>
      <c r="C40" s="261"/>
      <c r="D40" s="261"/>
      <c r="E40" s="261"/>
      <c r="F40" s="261"/>
      <c r="G40" s="261"/>
      <c r="H40" s="261"/>
      <c r="I40" s="88"/>
      <c r="J40" s="96"/>
      <c r="K40" s="88"/>
      <c r="L40" s="88"/>
      <c r="M40" s="88"/>
      <c r="N40" s="88"/>
      <c r="O40" s="88"/>
      <c r="P40" s="103"/>
      <c r="Q40" s="94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104"/>
      <c r="AC40" s="115"/>
      <c r="AD40" s="114"/>
    </row>
    <row r="41" spans="1:30">
      <c r="A41" s="87"/>
      <c r="B41" s="261"/>
      <c r="C41" s="261"/>
      <c r="D41" s="261"/>
      <c r="E41" s="261"/>
      <c r="F41" s="261"/>
      <c r="G41" s="261"/>
      <c r="H41" s="261"/>
      <c r="I41" s="88"/>
      <c r="J41" s="96"/>
      <c r="K41" s="88"/>
      <c r="L41" s="88"/>
      <c r="M41" s="88"/>
      <c r="N41" s="88"/>
      <c r="O41" s="88"/>
      <c r="P41" s="103"/>
      <c r="Q41" s="94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104"/>
      <c r="AC41" s="115"/>
      <c r="AD41" s="114"/>
    </row>
    <row r="42" spans="1:30">
      <c r="A42" s="87"/>
      <c r="B42" s="261"/>
      <c r="C42" s="261"/>
      <c r="D42" s="261"/>
      <c r="E42" s="261"/>
      <c r="F42" s="261"/>
      <c r="G42" s="261"/>
      <c r="H42" s="261"/>
      <c r="I42" s="88"/>
      <c r="J42" s="96"/>
      <c r="K42" s="88"/>
      <c r="L42" s="88"/>
      <c r="M42" s="88"/>
      <c r="N42" s="88"/>
      <c r="O42" s="88"/>
      <c r="P42" s="103"/>
      <c r="Q42" s="94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104"/>
      <c r="AC42" s="115"/>
      <c r="AD42" s="114"/>
    </row>
    <row r="43" spans="1:30">
      <c r="A43" s="87"/>
      <c r="B43" s="261"/>
      <c r="C43" s="261"/>
      <c r="D43" s="261"/>
      <c r="E43" s="261"/>
      <c r="F43" s="261"/>
      <c r="G43" s="261"/>
      <c r="H43" s="261"/>
      <c r="I43" s="88"/>
      <c r="J43" s="96"/>
      <c r="K43" s="88"/>
      <c r="L43" s="88"/>
      <c r="M43" s="88"/>
      <c r="N43" s="88"/>
      <c r="O43" s="88"/>
      <c r="P43" s="103"/>
      <c r="Q43" s="94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104"/>
      <c r="AC43" s="115"/>
      <c r="AD43" s="114"/>
    </row>
    <row r="44" spans="1:30">
      <c r="A44" s="87"/>
      <c r="B44" s="261"/>
      <c r="C44" s="261"/>
      <c r="D44" s="261"/>
      <c r="E44" s="261"/>
      <c r="F44" s="261"/>
      <c r="G44" s="261"/>
      <c r="H44" s="261"/>
      <c r="I44" s="88"/>
      <c r="J44" s="96"/>
      <c r="K44" s="88"/>
      <c r="L44" s="88"/>
      <c r="M44" s="88"/>
      <c r="N44" s="88"/>
      <c r="O44" s="88"/>
      <c r="P44" s="103"/>
      <c r="Q44" s="94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104"/>
      <c r="AC44" s="115"/>
      <c r="AD44" s="114"/>
    </row>
    <row r="45" spans="1:30">
      <c r="A45" s="87"/>
      <c r="B45" s="261"/>
      <c r="C45" s="261"/>
      <c r="D45" s="261"/>
      <c r="E45" s="261"/>
      <c r="F45" s="261"/>
      <c r="G45" s="261"/>
      <c r="H45" s="261"/>
      <c r="I45" s="88"/>
      <c r="J45" s="96"/>
      <c r="K45" s="88"/>
      <c r="L45" s="88"/>
      <c r="M45" s="88"/>
      <c r="N45" s="88"/>
      <c r="O45" s="88"/>
      <c r="P45" s="103"/>
      <c r="Q45" s="94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104"/>
      <c r="AC45" s="115"/>
      <c r="AD45" s="114"/>
    </row>
    <row r="46" spans="1:30">
      <c r="A46" s="87"/>
      <c r="B46" s="261"/>
      <c r="C46" s="261"/>
      <c r="D46" s="261"/>
      <c r="E46" s="261"/>
      <c r="F46" s="261"/>
      <c r="G46" s="261"/>
      <c r="H46" s="261"/>
      <c r="I46" s="88"/>
      <c r="J46" s="96"/>
      <c r="K46" s="88"/>
      <c r="L46" s="88"/>
      <c r="M46" s="88"/>
      <c r="N46" s="88"/>
      <c r="O46" s="88"/>
      <c r="P46" s="103"/>
      <c r="Q46" s="94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104"/>
      <c r="AC46" s="115"/>
      <c r="AD46" s="114"/>
    </row>
    <row r="47" spans="1:30">
      <c r="A47" s="87"/>
      <c r="B47" s="261"/>
      <c r="C47" s="261"/>
      <c r="D47" s="261"/>
      <c r="E47" s="261"/>
      <c r="F47" s="261"/>
      <c r="G47" s="261"/>
      <c r="H47" s="261"/>
      <c r="I47" s="88"/>
      <c r="J47" s="96"/>
      <c r="K47" s="88"/>
      <c r="L47" s="88"/>
      <c r="M47" s="88"/>
      <c r="N47" s="88"/>
      <c r="O47" s="88"/>
      <c r="P47" s="103"/>
      <c r="Q47" s="94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104"/>
      <c r="AC47" s="115"/>
      <c r="AD47" s="114"/>
    </row>
    <row r="48" spans="1:30">
      <c r="A48" s="87"/>
      <c r="B48" s="261"/>
      <c r="C48" s="261"/>
      <c r="D48" s="261"/>
      <c r="E48" s="261"/>
      <c r="F48" s="261"/>
      <c r="G48" s="261"/>
      <c r="H48" s="261"/>
      <c r="I48" s="88"/>
      <c r="J48" s="96"/>
      <c r="K48" s="88"/>
      <c r="L48" s="88"/>
      <c r="M48" s="88"/>
      <c r="N48" s="88"/>
      <c r="O48" s="88"/>
      <c r="P48" s="103"/>
      <c r="Q48" s="94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104"/>
      <c r="AC48" s="115"/>
      <c r="AD48" s="114"/>
    </row>
    <row r="49" spans="1:30">
      <c r="A49" s="87"/>
      <c r="B49" s="261"/>
      <c r="C49" s="261"/>
      <c r="D49" s="261"/>
      <c r="E49" s="261"/>
      <c r="F49" s="261"/>
      <c r="G49" s="261"/>
      <c r="H49" s="261"/>
      <c r="I49" s="88"/>
      <c r="J49" s="96"/>
      <c r="K49" s="88"/>
      <c r="L49" s="88"/>
      <c r="M49" s="88"/>
      <c r="N49" s="88"/>
      <c r="O49" s="88"/>
      <c r="P49" s="103"/>
      <c r="Q49" s="94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104"/>
      <c r="AC49" s="115"/>
      <c r="AD49" s="114"/>
    </row>
    <row r="50" spans="1:30">
      <c r="A50" s="87"/>
      <c r="B50" s="261"/>
      <c r="C50" s="261"/>
      <c r="D50" s="261"/>
      <c r="E50" s="261"/>
      <c r="F50" s="261"/>
      <c r="G50" s="261"/>
      <c r="H50" s="261"/>
      <c r="I50" s="88"/>
      <c r="J50" s="96"/>
      <c r="K50" s="88"/>
      <c r="L50" s="88"/>
      <c r="M50" s="88"/>
      <c r="N50" s="88"/>
      <c r="O50" s="88"/>
      <c r="P50" s="103"/>
      <c r="Q50" s="94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104"/>
      <c r="AC50" s="115"/>
      <c r="AD50" s="114"/>
    </row>
    <row r="51" spans="1:30">
      <c r="A51" s="87"/>
      <c r="B51" s="261"/>
      <c r="C51" s="261"/>
      <c r="D51" s="261"/>
      <c r="E51" s="261"/>
      <c r="F51" s="261"/>
      <c r="G51" s="261"/>
      <c r="H51" s="261"/>
      <c r="I51" s="88"/>
      <c r="J51" s="96"/>
      <c r="K51" s="88"/>
      <c r="L51" s="88"/>
      <c r="M51" s="88"/>
      <c r="N51" s="88"/>
      <c r="O51" s="88"/>
      <c r="P51" s="103"/>
      <c r="Q51" s="94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04"/>
      <c r="AC51" s="115"/>
      <c r="AD51" s="114"/>
    </row>
    <row r="52" spans="1:30">
      <c r="A52" s="87"/>
      <c r="B52" s="249"/>
      <c r="C52" s="249"/>
      <c r="D52" s="249"/>
      <c r="E52" s="249"/>
      <c r="F52" s="249"/>
      <c r="G52" s="249"/>
      <c r="H52" s="249"/>
      <c r="I52" s="96"/>
      <c r="J52" s="96"/>
      <c r="K52" s="96"/>
      <c r="L52" s="96"/>
      <c r="M52" s="96"/>
      <c r="N52" s="96"/>
      <c r="O52" s="96"/>
      <c r="P52" s="104"/>
      <c r="Q52" s="94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104"/>
      <c r="AC52" s="115"/>
      <c r="AD52" s="86"/>
    </row>
    <row r="53" spans="1:30">
      <c r="A53" s="87"/>
      <c r="B53" s="261"/>
      <c r="C53" s="261"/>
      <c r="D53" s="261"/>
      <c r="E53" s="261"/>
      <c r="F53" s="261"/>
      <c r="G53" s="261"/>
      <c r="H53" s="261"/>
      <c r="I53" s="88"/>
      <c r="J53" s="96"/>
      <c r="K53" s="88"/>
      <c r="L53" s="88"/>
      <c r="M53" s="88"/>
      <c r="N53" s="88"/>
      <c r="O53" s="88"/>
      <c r="P53" s="103"/>
      <c r="Q53" s="94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104"/>
      <c r="AC53" s="115"/>
      <c r="AD53" s="114"/>
    </row>
    <row r="54" spans="1:30">
      <c r="A54" s="87"/>
      <c r="B54" s="261"/>
      <c r="C54" s="261"/>
      <c r="D54" s="261"/>
      <c r="E54" s="261"/>
      <c r="F54" s="261"/>
      <c r="G54" s="261"/>
      <c r="H54" s="261"/>
      <c r="I54" s="88"/>
      <c r="J54" s="96"/>
      <c r="K54" s="88"/>
      <c r="L54" s="88"/>
      <c r="M54" s="88"/>
      <c r="N54" s="88"/>
      <c r="O54" s="88"/>
      <c r="P54" s="103"/>
      <c r="Q54" s="94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104"/>
      <c r="AC54" s="115"/>
      <c r="AD54" s="114"/>
    </row>
    <row r="55" spans="1:30">
      <c r="A55" s="92"/>
      <c r="B55" s="359"/>
      <c r="C55" s="359"/>
      <c r="D55" s="359"/>
      <c r="E55" s="359"/>
      <c r="F55" s="359"/>
      <c r="G55" s="359"/>
      <c r="H55" s="359"/>
      <c r="I55" s="115"/>
      <c r="J55" s="366"/>
      <c r="K55" s="115"/>
      <c r="L55" s="115"/>
      <c r="M55" s="115"/>
      <c r="N55" s="115"/>
      <c r="O55" s="115"/>
      <c r="P55" s="107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08"/>
      <c r="AC55" s="115"/>
      <c r="AD55" s="86"/>
    </row>
    <row r="56" spans="1:30">
      <c r="A56" s="92"/>
      <c r="B56" s="359"/>
      <c r="C56" s="359"/>
      <c r="D56" s="359"/>
      <c r="E56" s="359"/>
      <c r="F56" s="359"/>
      <c r="G56" s="359"/>
      <c r="H56" s="359"/>
      <c r="I56" s="115"/>
      <c r="J56" s="366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86"/>
    </row>
    <row r="57" spans="1:30">
      <c r="A57" s="92"/>
      <c r="B57" s="360"/>
      <c r="C57" s="360"/>
      <c r="D57" s="360"/>
      <c r="E57" s="360"/>
      <c r="F57" s="360"/>
      <c r="G57" s="360"/>
      <c r="H57" s="360"/>
      <c r="I57" s="86"/>
      <c r="J57" s="367"/>
      <c r="K57" s="86"/>
      <c r="L57" s="86"/>
      <c r="M57" s="86"/>
      <c r="N57" s="86"/>
      <c r="O57" s="86"/>
      <c r="P57" s="115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>
      <c r="A58" s="92"/>
      <c r="B58" s="315"/>
      <c r="C58" s="315"/>
      <c r="D58" s="315"/>
      <c r="E58" s="315"/>
      <c r="F58" s="315"/>
      <c r="G58" s="315"/>
      <c r="H58" s="315"/>
      <c r="I58" s="93"/>
      <c r="J58" s="368"/>
      <c r="K58" s="93"/>
      <c r="L58" s="93"/>
      <c r="M58" s="93"/>
      <c r="N58" s="93"/>
      <c r="O58" s="93"/>
      <c r="P58" s="105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1:30">
      <c r="A59" s="92"/>
      <c r="B59" s="315"/>
      <c r="C59" s="315"/>
      <c r="D59" s="315"/>
      <c r="E59" s="315"/>
      <c r="F59" s="315"/>
      <c r="G59" s="315"/>
      <c r="H59" s="315"/>
      <c r="I59" s="93"/>
      <c r="J59" s="368"/>
      <c r="K59" s="93"/>
      <c r="L59" s="93"/>
      <c r="M59" s="93"/>
      <c r="N59" s="93"/>
      <c r="O59" s="93"/>
      <c r="P59" s="105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</row>
    <row r="60" spans="1:30">
      <c r="A60" s="92"/>
      <c r="B60" s="315"/>
      <c r="C60" s="315"/>
      <c r="D60" s="315"/>
      <c r="E60" s="315"/>
      <c r="F60" s="315"/>
      <c r="G60" s="315"/>
      <c r="H60" s="315"/>
      <c r="I60" s="93"/>
      <c r="J60" s="368"/>
      <c r="K60" s="93"/>
      <c r="L60" s="93"/>
      <c r="M60" s="93"/>
      <c r="N60" s="93"/>
      <c r="O60" s="93"/>
      <c r="P60" s="105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</row>
    <row r="61" spans="1:30">
      <c r="A61" s="92"/>
      <c r="B61" s="315"/>
      <c r="C61" s="315"/>
      <c r="D61" s="315"/>
      <c r="E61" s="315"/>
      <c r="F61" s="315"/>
      <c r="G61" s="315"/>
      <c r="H61" s="315"/>
      <c r="I61" s="93"/>
      <c r="J61" s="368"/>
      <c r="K61" s="93"/>
      <c r="L61" s="93"/>
      <c r="M61" s="93"/>
      <c r="N61" s="93"/>
      <c r="O61" s="93"/>
      <c r="P61" s="105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</row>
    <row r="62" spans="1:30">
      <c r="A62" s="92"/>
      <c r="I62" s="92"/>
      <c r="J62" s="369"/>
      <c r="K62" s="92"/>
      <c r="L62" s="92"/>
      <c r="M62" s="92"/>
      <c r="N62" s="93"/>
      <c r="O62" s="93"/>
      <c r="P62" s="105"/>
      <c r="Q62" s="93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2"/>
      <c r="AC62" s="92"/>
      <c r="AD62" s="93"/>
    </row>
    <row r="63" spans="1:30">
      <c r="A63" s="92"/>
      <c r="I63" s="92"/>
      <c r="J63" s="369"/>
      <c r="K63" s="92"/>
      <c r="L63" s="92"/>
      <c r="M63" s="92"/>
      <c r="N63" s="93"/>
      <c r="O63" s="93"/>
      <c r="P63" s="105"/>
      <c r="Q63" s="93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2"/>
      <c r="AC63" s="92"/>
      <c r="AD63" s="93"/>
    </row>
    <row r="64" spans="1:30">
      <c r="P64" s="42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  <row r="87" spans="16:16">
      <c r="P87" s="42"/>
    </row>
    <row r="88" spans="16:16">
      <c r="P88" s="42"/>
    </row>
    <row r="89" spans="16:16">
      <c r="P89" s="42"/>
    </row>
    <row r="90" spans="16:16">
      <c r="P90" s="42"/>
    </row>
    <row r="91" spans="16:16">
      <c r="P91" s="42"/>
    </row>
    <row r="92" spans="16:16">
      <c r="P92" s="42"/>
    </row>
    <row r="93" spans="16:16">
      <c r="P93" s="42"/>
    </row>
    <row r="94" spans="16:16">
      <c r="P94" s="42"/>
    </row>
    <row r="95" spans="16:16">
      <c r="P95" s="42"/>
    </row>
    <row r="96" spans="16:16">
      <c r="P96" s="42"/>
    </row>
    <row r="97" spans="16:16">
      <c r="P97" s="42"/>
    </row>
  </sheetData>
  <phoneticPr fontId="23" type="noConversion"/>
  <conditionalFormatting sqref="I7">
    <cfRule type="cellIs" dxfId="1" priority="9" stopIfTrue="1" operator="equal">
      <formula>"PASS"</formula>
    </cfRule>
    <cfRule type="cellIs" dxfId="0" priority="10" stopIfTrue="1" operator="equal">
      <formula>"FAIL"</formula>
    </cfRule>
  </conditionalFormatting>
  <printOptions gridLines="1"/>
  <pageMargins left="0.25" right="0.25" top="1" bottom="1" header="0.5" footer="0.5"/>
  <pageSetup scale="66"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97"/>
  <sheetViews>
    <sheetView topLeftCell="A4" zoomScale="125" zoomScaleNormal="125" zoomScalePageLayoutView="125" workbookViewId="0">
      <selection activeCell="C12" sqref="C12"/>
    </sheetView>
  </sheetViews>
  <sheetFormatPr defaultColWidth="8.88671875" defaultRowHeight="13.2"/>
  <cols>
    <col min="1" max="1" width="40.88671875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85" customWidth="1"/>
    <col min="12" max="12" width="25.44140625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41" customWidth="1"/>
    <col min="23" max="23" width="10" style="41" customWidth="1"/>
    <col min="24" max="25" width="8.6640625" style="41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17.399999999999999">
      <c r="A1" s="117" t="s">
        <v>209</v>
      </c>
      <c r="B1" s="21"/>
      <c r="C1" s="21"/>
      <c r="D1" s="21"/>
      <c r="E1" s="21" t="s">
        <v>117</v>
      </c>
      <c r="F1" s="200">
        <f>MIN(B6:B18)</f>
        <v>0.9</v>
      </c>
      <c r="G1" s="21"/>
      <c r="H1" s="21" t="s">
        <v>119</v>
      </c>
      <c r="I1" s="21"/>
      <c r="J1" s="295">
        <f>MIN(H6:H18)</f>
        <v>0</v>
      </c>
      <c r="K1" s="276"/>
      <c r="L1" s="28"/>
      <c r="M1" s="28"/>
      <c r="N1" s="28"/>
      <c r="O1" s="28"/>
      <c r="P1" s="118"/>
      <c r="Q1" s="82"/>
      <c r="R1" s="83"/>
      <c r="S1" s="83"/>
      <c r="T1" s="83"/>
      <c r="U1" s="83"/>
      <c r="V1" s="83"/>
      <c r="W1" s="83"/>
      <c r="X1" s="83"/>
      <c r="Y1" s="83"/>
      <c r="Z1" s="84"/>
      <c r="AA1" s="85"/>
      <c r="AB1" s="86"/>
      <c r="AC1" s="60"/>
      <c r="AD1" s="1"/>
      <c r="AE1" s="1"/>
      <c r="AF1" s="1"/>
    </row>
    <row r="2" spans="1:35">
      <c r="A2" s="77"/>
      <c r="B2" s="24"/>
      <c r="C2" s="24"/>
      <c r="D2" s="24"/>
      <c r="E2" s="24" t="s">
        <v>118</v>
      </c>
      <c r="F2" s="200">
        <f>MAX(B6:B18)</f>
        <v>150.97999999999999</v>
      </c>
      <c r="G2" s="24"/>
      <c r="H2" s="24" t="s">
        <v>120</v>
      </c>
      <c r="I2" s="24"/>
      <c r="J2" s="294">
        <f>MAX(H6:H18)</f>
        <v>29.042316258351892</v>
      </c>
      <c r="K2" s="277"/>
      <c r="L2" s="119"/>
      <c r="M2" s="52"/>
      <c r="N2" s="52"/>
      <c r="O2" s="52"/>
      <c r="P2" s="120"/>
      <c r="Q2" s="89"/>
      <c r="R2" s="89"/>
      <c r="S2" s="83"/>
      <c r="T2" s="83"/>
      <c r="U2" s="83"/>
      <c r="V2" s="83"/>
      <c r="W2" s="83"/>
      <c r="X2" s="83"/>
      <c r="Y2" s="83"/>
      <c r="Z2" s="84"/>
      <c r="AA2" s="85"/>
      <c r="AB2" s="86"/>
      <c r="AC2" s="60"/>
      <c r="AD2" s="1"/>
      <c r="AE2" s="1"/>
      <c r="AF2" s="1"/>
    </row>
    <row r="3" spans="1:35">
      <c r="A3" s="333"/>
      <c r="B3" s="16" t="s">
        <v>94</v>
      </c>
      <c r="C3" s="23"/>
      <c r="D3" s="23"/>
      <c r="E3" s="23"/>
      <c r="F3" s="23"/>
      <c r="G3" s="23"/>
      <c r="H3" s="23"/>
      <c r="I3" s="23"/>
      <c r="J3" s="16"/>
      <c r="K3" s="278"/>
      <c r="L3" s="28"/>
      <c r="M3" s="23"/>
      <c r="N3" s="23"/>
      <c r="O3" s="23"/>
      <c r="P3" s="121"/>
      <c r="Q3" s="91"/>
      <c r="R3" s="89"/>
      <c r="S3" s="83"/>
      <c r="T3" s="83"/>
      <c r="U3" s="83"/>
      <c r="V3" s="83"/>
      <c r="W3" s="83"/>
      <c r="X3" s="83"/>
      <c r="Y3" s="83"/>
      <c r="Z3" s="84"/>
      <c r="AA3" s="85"/>
      <c r="AB3" s="86"/>
      <c r="AC3" s="60"/>
      <c r="AD3" s="1"/>
      <c r="AE3" s="1"/>
      <c r="AF3" s="1"/>
    </row>
    <row r="4" spans="1:35">
      <c r="A4" s="16"/>
      <c r="B4" s="16"/>
      <c r="C4" s="23"/>
      <c r="D4" s="23"/>
      <c r="E4" s="23" t="s">
        <v>46</v>
      </c>
      <c r="F4" s="23"/>
      <c r="G4" s="23"/>
      <c r="H4" s="23"/>
      <c r="I4" s="23"/>
      <c r="J4" s="23"/>
      <c r="K4" s="278"/>
      <c r="L4" s="28"/>
      <c r="M4" s="23"/>
      <c r="N4" s="23"/>
      <c r="O4" s="23"/>
      <c r="P4" s="121"/>
      <c r="Q4" s="91"/>
      <c r="R4" s="89"/>
      <c r="S4" s="83"/>
      <c r="T4" s="83"/>
      <c r="U4" s="83"/>
      <c r="V4" s="83"/>
      <c r="W4" s="83"/>
      <c r="X4" s="83"/>
      <c r="Y4" s="83"/>
      <c r="Z4" s="84"/>
      <c r="AA4" s="85"/>
      <c r="AB4" s="86"/>
      <c r="AC4" s="60"/>
      <c r="AD4" s="1"/>
      <c r="AE4" s="1"/>
      <c r="AF4" s="1"/>
    </row>
    <row r="5" spans="1:35" ht="26.4">
      <c r="B5" s="465" t="s">
        <v>178</v>
      </c>
      <c r="C5" s="39" t="s">
        <v>91</v>
      </c>
      <c r="D5" s="23" t="s">
        <v>28</v>
      </c>
      <c r="E5" s="23"/>
      <c r="F5" s="465" t="s">
        <v>223</v>
      </c>
      <c r="G5" s="465" t="s">
        <v>129</v>
      </c>
      <c r="H5" s="39" t="s">
        <v>169</v>
      </c>
      <c r="I5" s="39" t="s">
        <v>54</v>
      </c>
      <c r="J5" s="39"/>
      <c r="K5" s="278" t="s">
        <v>62</v>
      </c>
      <c r="L5" s="472" t="s">
        <v>130</v>
      </c>
      <c r="M5" s="20"/>
      <c r="N5" s="28"/>
      <c r="O5" s="28"/>
      <c r="P5" s="118"/>
      <c r="Q5" s="82"/>
      <c r="R5" s="82"/>
      <c r="S5" s="82"/>
      <c r="T5" s="82"/>
      <c r="U5" s="82"/>
      <c r="V5" s="82"/>
      <c r="W5" s="82"/>
      <c r="X5" s="82"/>
      <c r="Y5" s="82"/>
      <c r="Z5" s="81"/>
      <c r="AA5" s="92"/>
      <c r="AB5" s="93"/>
    </row>
    <row r="6" spans="1:35" ht="14.4">
      <c r="A6" s="319" t="s">
        <v>190</v>
      </c>
      <c r="B6" s="466">
        <v>4.3899999999999997</v>
      </c>
      <c r="C6" s="272">
        <f>$B$21*B6+$B$22</f>
        <v>48.895422441364609</v>
      </c>
      <c r="D6" s="248">
        <f t="shared" ref="D6:D18" si="0">RANK(C6,$C$6:$C$18)</f>
        <v>4</v>
      </c>
      <c r="E6" s="183"/>
      <c r="F6" s="411">
        <v>7.17E-2</v>
      </c>
      <c r="G6" s="468">
        <v>1.306</v>
      </c>
      <c r="H6" s="292">
        <f>+G6/F6</f>
        <v>18.214783821478385</v>
      </c>
      <c r="I6" s="376">
        <f>$F$21*H6+$F$22</f>
        <v>31.359041165045223</v>
      </c>
      <c r="J6" s="195">
        <f>RANK(I6,$I$6:$I$18)</f>
        <v>4</v>
      </c>
      <c r="K6" s="123">
        <f>C6+I6</f>
        <v>80.254463606409828</v>
      </c>
      <c r="L6" s="473"/>
      <c r="M6" s="125"/>
      <c r="N6" s="28"/>
      <c r="O6" s="28"/>
      <c r="P6" s="122"/>
      <c r="Q6" s="82"/>
      <c r="R6" s="82"/>
      <c r="S6" s="82"/>
      <c r="T6" s="82"/>
      <c r="U6" s="82"/>
      <c r="V6" s="82"/>
      <c r="W6" s="82"/>
      <c r="X6" s="82"/>
      <c r="Y6" s="82"/>
      <c r="Z6" s="81"/>
      <c r="AA6" s="92"/>
      <c r="AB6" s="93"/>
      <c r="AH6" s="31"/>
      <c r="AI6" s="31"/>
    </row>
    <row r="7" spans="1:35" ht="14.4">
      <c r="A7" s="319" t="s">
        <v>191</v>
      </c>
      <c r="B7" s="467">
        <v>30.74</v>
      </c>
      <c r="C7" s="272">
        <f t="shared" ref="C7" si="1">$B$21*B7+$B$22</f>
        <v>40.555703624733475</v>
      </c>
      <c r="D7" s="248">
        <f t="shared" si="0"/>
        <v>6</v>
      </c>
      <c r="E7" s="203"/>
      <c r="F7" s="469">
        <v>9.6600000000000005E-2</v>
      </c>
      <c r="G7" s="470">
        <v>1.3029999999999999</v>
      </c>
      <c r="H7" s="292">
        <f t="shared" ref="H7:H8" si="2">+G7/F7</f>
        <v>13.488612836438922</v>
      </c>
      <c r="I7" s="376">
        <f t="shared" ref="I7:I13" si="3">$F$21*H7+$F$22</f>
        <v>23.222343418562406</v>
      </c>
      <c r="J7" s="195">
        <f>RANK(I7,$I$6:$I$18)</f>
        <v>7</v>
      </c>
      <c r="K7" s="123">
        <f t="shared" ref="K7:K13" si="4">C7+I7</f>
        <v>63.778047043295885</v>
      </c>
      <c r="L7" s="473"/>
      <c r="M7" s="125"/>
      <c r="N7" s="28"/>
      <c r="O7" s="28"/>
      <c r="P7" s="118"/>
      <c r="Q7" s="82"/>
      <c r="R7" s="82"/>
      <c r="S7" s="82"/>
      <c r="T7" s="82"/>
      <c r="U7" s="82"/>
      <c r="V7" s="82"/>
      <c r="W7" s="82"/>
      <c r="X7" s="82"/>
      <c r="Y7" s="82"/>
      <c r="Z7" s="81"/>
      <c r="AA7" s="92"/>
      <c r="AB7" s="93"/>
      <c r="AH7" s="31"/>
      <c r="AI7" s="31"/>
    </row>
    <row r="8" spans="1:35" ht="14.4">
      <c r="A8" s="319" t="s">
        <v>192</v>
      </c>
      <c r="B8" s="467">
        <v>7.21</v>
      </c>
      <c r="C8" s="272">
        <f>$B$21*B8+$B$22</f>
        <v>48.00289845415778</v>
      </c>
      <c r="D8" s="248">
        <f t="shared" si="0"/>
        <v>5</v>
      </c>
      <c r="E8" s="203"/>
      <c r="F8" s="469">
        <v>8.6499999999999994E-2</v>
      </c>
      <c r="G8" s="471">
        <v>1.31</v>
      </c>
      <c r="H8" s="292">
        <f t="shared" si="2"/>
        <v>15.144508670520233</v>
      </c>
      <c r="I8" s="376">
        <f t="shared" si="3"/>
        <v>26.073176353771412</v>
      </c>
      <c r="J8" s="195">
        <f>RANK(I8,$I$6:$I$18)</f>
        <v>5</v>
      </c>
      <c r="K8" s="123">
        <f t="shared" si="4"/>
        <v>74.076074807929189</v>
      </c>
      <c r="L8" s="473"/>
      <c r="M8" s="125"/>
      <c r="N8" s="28"/>
      <c r="O8" s="28"/>
      <c r="P8" s="118"/>
      <c r="Q8" s="82"/>
      <c r="R8" s="82"/>
      <c r="S8" s="82"/>
      <c r="T8" s="82"/>
      <c r="U8" s="82"/>
      <c r="V8" s="82"/>
      <c r="W8" s="82"/>
      <c r="X8" s="82"/>
      <c r="Y8" s="82"/>
      <c r="Z8" s="81"/>
      <c r="AA8" s="92"/>
      <c r="AB8" s="93"/>
      <c r="AH8" s="31"/>
      <c r="AI8" s="31"/>
    </row>
    <row r="9" spans="1:35" s="206" customFormat="1" ht="14.4">
      <c r="A9" s="432" t="s">
        <v>213</v>
      </c>
      <c r="B9" s="467"/>
      <c r="C9" s="272"/>
      <c r="D9" s="248" t="s">
        <v>46</v>
      </c>
      <c r="E9" s="234"/>
      <c r="F9" s="469">
        <v>1</v>
      </c>
      <c r="G9" s="470">
        <v>0</v>
      </c>
      <c r="H9" s="292">
        <f t="shared" ref="H9" si="5">+G9/F9</f>
        <v>0</v>
      </c>
      <c r="I9" s="376">
        <f t="shared" ref="I9" si="6">$F$21*H9+$F$22</f>
        <v>0</v>
      </c>
      <c r="J9" s="195">
        <f>RANK(I9,$I$6:$I$18)</f>
        <v>10</v>
      </c>
      <c r="K9" s="123">
        <f t="shared" si="4"/>
        <v>0</v>
      </c>
      <c r="L9" s="473" t="s">
        <v>224</v>
      </c>
      <c r="M9" s="239"/>
      <c r="N9" s="232"/>
      <c r="O9" s="232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10"/>
      <c r="AB9" s="208"/>
      <c r="AC9" s="208"/>
      <c r="AH9" s="238"/>
      <c r="AI9" s="238"/>
    </row>
    <row r="10" spans="1:35" s="206" customFormat="1" ht="14.4">
      <c r="A10" s="319" t="s">
        <v>193</v>
      </c>
      <c r="B10" s="467">
        <v>88.32</v>
      </c>
      <c r="C10" s="272">
        <f t="shared" ref="C10:C13" si="7">$B$21*B10+$B$22</f>
        <v>22.331756396588485</v>
      </c>
      <c r="D10" s="248">
        <f t="shared" si="0"/>
        <v>8</v>
      </c>
      <c r="E10" s="234"/>
      <c r="F10" s="469">
        <v>0.1004</v>
      </c>
      <c r="G10" s="470">
        <v>1.3069999999999999</v>
      </c>
      <c r="H10" s="292">
        <f>+G10/F10</f>
        <v>13.017928286852589</v>
      </c>
      <c r="I10" s="376">
        <f t="shared" si="3"/>
        <v>22.412000769926429</v>
      </c>
      <c r="J10" s="195">
        <f t="shared" ref="J10:J18" si="8">RANK(I10,$I$6:$I$18)</f>
        <v>9</v>
      </c>
      <c r="K10" s="123">
        <f t="shared" si="4"/>
        <v>44.743757166514911</v>
      </c>
      <c r="L10" s="473"/>
      <c r="M10" s="239"/>
      <c r="N10" s="232"/>
      <c r="O10" s="232"/>
      <c r="P10" s="240"/>
      <c r="Q10" s="240"/>
      <c r="R10" s="240"/>
      <c r="S10" s="240"/>
      <c r="T10" s="237"/>
      <c r="U10" s="237"/>
      <c r="V10" s="237"/>
      <c r="W10" s="237"/>
      <c r="X10" s="237"/>
      <c r="Y10" s="237"/>
      <c r="Z10" s="210"/>
      <c r="AB10" s="208"/>
      <c r="AC10" s="208"/>
      <c r="AH10" s="238"/>
      <c r="AI10" s="238"/>
    </row>
    <row r="11" spans="1:35" ht="14.4">
      <c r="A11" s="319" t="s">
        <v>194</v>
      </c>
      <c r="B11" s="467"/>
      <c r="C11" s="272">
        <v>2.5</v>
      </c>
      <c r="D11" s="248" t="s">
        <v>46</v>
      </c>
      <c r="E11" s="183"/>
      <c r="F11" s="469">
        <v>1</v>
      </c>
      <c r="G11" s="470">
        <v>0</v>
      </c>
      <c r="H11" s="292">
        <f>+G11/F11</f>
        <v>0</v>
      </c>
      <c r="I11" s="376">
        <f t="shared" ref="I11" si="9">$F$21*H11+$F$22</f>
        <v>0</v>
      </c>
      <c r="J11" s="195">
        <f t="shared" ref="J11" si="10">RANK(I11,$I$6:$I$18)</f>
        <v>10</v>
      </c>
      <c r="K11" s="123">
        <f t="shared" si="4"/>
        <v>2.5</v>
      </c>
      <c r="L11" s="473" t="s">
        <v>225</v>
      </c>
      <c r="M11" s="125"/>
      <c r="N11" s="28"/>
      <c r="O11" s="28"/>
      <c r="P11" s="122"/>
      <c r="Q11" s="95"/>
      <c r="R11" s="95"/>
      <c r="S11" s="95"/>
      <c r="T11" s="82"/>
      <c r="U11" s="82"/>
      <c r="V11" s="82"/>
      <c r="W11" s="82"/>
      <c r="X11" s="82"/>
      <c r="Y11" s="82"/>
      <c r="Z11" s="81"/>
      <c r="AA11" s="92"/>
      <c r="AB11" s="93"/>
      <c r="AH11" s="31"/>
      <c r="AI11" s="31"/>
    </row>
    <row r="12" spans="1:35" ht="14.4">
      <c r="A12" s="383" t="s">
        <v>195</v>
      </c>
      <c r="B12" s="467">
        <v>0.9</v>
      </c>
      <c r="C12" s="272">
        <f t="shared" si="7"/>
        <v>50</v>
      </c>
      <c r="D12" s="248">
        <f t="shared" si="0"/>
        <v>1</v>
      </c>
      <c r="E12" s="183"/>
      <c r="F12" s="469">
        <v>4.4900000000000002E-2</v>
      </c>
      <c r="G12" s="470">
        <v>1.304</v>
      </c>
      <c r="H12" s="292">
        <f t="shared" ref="H12:H13" si="11">+G12/F12</f>
        <v>29.042316258351892</v>
      </c>
      <c r="I12" s="376">
        <f t="shared" si="3"/>
        <v>50</v>
      </c>
      <c r="J12" s="195">
        <f t="shared" si="8"/>
        <v>1</v>
      </c>
      <c r="K12" s="123">
        <f t="shared" si="4"/>
        <v>100</v>
      </c>
      <c r="L12" s="473"/>
      <c r="M12" s="125"/>
      <c r="N12" s="28"/>
      <c r="O12" s="28"/>
      <c r="P12" s="122"/>
      <c r="Q12" s="95"/>
      <c r="R12" s="95"/>
      <c r="S12" s="95"/>
      <c r="T12" s="82"/>
      <c r="U12" s="82"/>
      <c r="V12" s="82"/>
      <c r="W12" s="82"/>
      <c r="X12" s="82"/>
      <c r="Y12" s="82"/>
      <c r="Z12" s="81"/>
      <c r="AA12" s="92"/>
      <c r="AB12" s="93"/>
      <c r="AH12" s="31"/>
      <c r="AI12" s="31"/>
    </row>
    <row r="13" spans="1:35" ht="14.4">
      <c r="A13" s="319" t="s">
        <v>196</v>
      </c>
      <c r="B13" s="467">
        <v>150.97999999999999</v>
      </c>
      <c r="C13" s="272">
        <f t="shared" si="7"/>
        <v>2.5</v>
      </c>
      <c r="D13" s="248">
        <f t="shared" si="0"/>
        <v>9</v>
      </c>
      <c r="E13" s="203"/>
      <c r="F13" s="469">
        <v>9.8400000000000001E-2</v>
      </c>
      <c r="G13" s="470">
        <v>1.3</v>
      </c>
      <c r="H13" s="292">
        <f t="shared" si="11"/>
        <v>13.211382113821138</v>
      </c>
      <c r="I13" s="376">
        <f t="shared" si="3"/>
        <v>22.745055863135317</v>
      </c>
      <c r="J13" s="195">
        <f t="shared" si="8"/>
        <v>8</v>
      </c>
      <c r="K13" s="123">
        <f t="shared" si="4"/>
        <v>25.245055863135317</v>
      </c>
      <c r="L13" s="473"/>
      <c r="M13" s="125"/>
      <c r="N13" s="28"/>
      <c r="O13" s="28"/>
      <c r="P13" s="118"/>
      <c r="Q13" s="82"/>
      <c r="R13" s="82"/>
      <c r="S13" s="82"/>
      <c r="T13" s="82"/>
      <c r="U13" s="82"/>
      <c r="V13" s="82"/>
      <c r="W13" s="82"/>
      <c r="X13" s="82"/>
      <c r="Y13" s="82"/>
      <c r="Z13" s="81"/>
      <c r="AA13" s="92"/>
      <c r="AB13" s="93"/>
      <c r="AH13" s="31"/>
      <c r="AI13" s="31"/>
    </row>
    <row r="14" spans="1:35" ht="14.4">
      <c r="A14" s="319" t="s">
        <v>197</v>
      </c>
      <c r="B14" s="467"/>
      <c r="C14" s="272"/>
      <c r="D14" s="248" t="s">
        <v>46</v>
      </c>
      <c r="E14" s="183"/>
      <c r="F14" s="469">
        <v>1</v>
      </c>
      <c r="G14" s="470">
        <v>0</v>
      </c>
      <c r="H14" s="292">
        <f t="shared" ref="H14" si="12">+G14/F14</f>
        <v>0</v>
      </c>
      <c r="I14" s="376">
        <f t="shared" ref="I14" si="13">$F$21*H14+$F$22</f>
        <v>0</v>
      </c>
      <c r="J14" s="195">
        <f t="shared" ref="J14" si="14">RANK(I14,$I$6:$I$18)</f>
        <v>10</v>
      </c>
      <c r="K14" s="123">
        <f>C14+I14</f>
        <v>0</v>
      </c>
      <c r="L14" s="473" t="s">
        <v>226</v>
      </c>
      <c r="M14" s="125"/>
      <c r="N14" s="28"/>
      <c r="O14" s="28"/>
      <c r="P14" s="118"/>
      <c r="Q14" s="82"/>
      <c r="R14" s="82"/>
      <c r="S14" s="82"/>
      <c r="T14" s="82"/>
      <c r="U14" s="82"/>
      <c r="V14" s="82"/>
      <c r="W14" s="82"/>
      <c r="X14" s="82"/>
      <c r="Y14" s="82"/>
      <c r="Z14" s="81"/>
      <c r="AA14" s="92"/>
      <c r="AB14" s="93"/>
      <c r="AH14" s="31"/>
      <c r="AI14" s="31"/>
    </row>
    <row r="15" spans="1:35" ht="14.4">
      <c r="A15" s="319" t="s">
        <v>198</v>
      </c>
      <c r="B15" s="467">
        <v>1.24</v>
      </c>
      <c r="C15" s="272">
        <f>$B$21*B15+$B$22</f>
        <v>49.892390724946694</v>
      </c>
      <c r="D15" s="248">
        <f t="shared" si="0"/>
        <v>2</v>
      </c>
      <c r="E15" s="412"/>
      <c r="F15" s="469">
        <v>4.6399999999999997E-2</v>
      </c>
      <c r="G15" s="470">
        <v>1.306</v>
      </c>
      <c r="H15" s="292">
        <f t="shared" ref="H15:H18" si="15">+G15/F15</f>
        <v>28.146551724137932</v>
      </c>
      <c r="I15" s="376">
        <f t="shared" ref="I15:I18" si="16">$F$21*H15+$F$22</f>
        <v>48.457828696847898</v>
      </c>
      <c r="J15" s="195">
        <f t="shared" si="8"/>
        <v>2</v>
      </c>
      <c r="K15" s="123">
        <f>C15+I15</f>
        <v>98.350219421794591</v>
      </c>
      <c r="L15" s="473"/>
      <c r="M15" s="125"/>
      <c r="N15" s="28"/>
      <c r="O15" s="28"/>
      <c r="P15" s="118"/>
      <c r="Q15" s="82"/>
      <c r="R15" s="82"/>
      <c r="S15" s="82"/>
      <c r="T15" s="82"/>
      <c r="U15" s="82"/>
      <c r="V15" s="82"/>
      <c r="W15" s="82"/>
      <c r="X15" s="82"/>
      <c r="Y15" s="82"/>
      <c r="Z15" s="81"/>
      <c r="AA15" s="92"/>
      <c r="AB15" s="93"/>
      <c r="AH15" s="31"/>
      <c r="AI15" s="31"/>
    </row>
    <row r="16" spans="1:35" s="140" customFormat="1" ht="14.4">
      <c r="A16" s="429" t="s">
        <v>199</v>
      </c>
      <c r="B16" s="467">
        <v>37.25</v>
      </c>
      <c r="C16" s="272">
        <f>$B$21*B16+$B$22</f>
        <v>38.495302505330486</v>
      </c>
      <c r="D16" s="248">
        <f t="shared" si="0"/>
        <v>7</v>
      </c>
      <c r="E16" s="183"/>
      <c r="F16" s="469">
        <v>9.3600000000000003E-2</v>
      </c>
      <c r="G16" s="470">
        <v>1.3069999999999999</v>
      </c>
      <c r="H16" s="292">
        <f t="shared" si="15"/>
        <v>13.963675213675213</v>
      </c>
      <c r="I16" s="376">
        <f t="shared" si="16"/>
        <v>24.040223048083476</v>
      </c>
      <c r="J16" s="195">
        <f t="shared" si="8"/>
        <v>6</v>
      </c>
      <c r="K16" s="123">
        <f>C16+I16</f>
        <v>62.535525553413962</v>
      </c>
      <c r="L16" s="473"/>
      <c r="M16" s="149"/>
      <c r="N16" s="148"/>
      <c r="O16" s="148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34"/>
      <c r="AA16" s="143"/>
      <c r="AB16" s="142"/>
      <c r="AC16" s="139"/>
      <c r="AH16" s="151"/>
      <c r="AI16" s="151"/>
    </row>
    <row r="17" spans="1:35" s="140" customFormat="1" ht="14.4">
      <c r="A17" s="435" t="s">
        <v>216</v>
      </c>
      <c r="B17" s="467"/>
      <c r="C17" s="272"/>
      <c r="D17" s="248" t="s">
        <v>46</v>
      </c>
      <c r="E17" s="183"/>
      <c r="F17" s="469">
        <v>1</v>
      </c>
      <c r="G17" s="470">
        <v>0</v>
      </c>
      <c r="H17" s="292">
        <f t="shared" ref="H17" si="17">+G17/F17</f>
        <v>0</v>
      </c>
      <c r="I17" s="376">
        <f t="shared" ref="I17" si="18">$F$21*H17+$F$22</f>
        <v>0</v>
      </c>
      <c r="J17" s="195">
        <f t="shared" ref="J17" si="19">RANK(I17,$I$6:$I$18)</f>
        <v>10</v>
      </c>
      <c r="K17" s="123">
        <f>C17+I17</f>
        <v>0</v>
      </c>
      <c r="L17" s="473" t="s">
        <v>224</v>
      </c>
      <c r="M17" s="149"/>
      <c r="N17" s="148"/>
      <c r="O17" s="148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34"/>
      <c r="AA17" s="143"/>
      <c r="AB17" s="142"/>
      <c r="AC17" s="139"/>
      <c r="AH17" s="151"/>
      <c r="AI17" s="151"/>
    </row>
    <row r="18" spans="1:35" ht="14.4">
      <c r="A18" s="429" t="s">
        <v>200</v>
      </c>
      <c r="B18" s="467">
        <v>4.28</v>
      </c>
      <c r="C18" s="272">
        <f>$B$21*B18+$B$22</f>
        <v>48.93023720682303</v>
      </c>
      <c r="D18" s="248">
        <f t="shared" si="0"/>
        <v>3</v>
      </c>
      <c r="E18" s="183"/>
      <c r="F18" s="469">
        <v>5.8900000000000001E-2</v>
      </c>
      <c r="G18" s="470">
        <v>1.304</v>
      </c>
      <c r="H18" s="292">
        <f t="shared" si="15"/>
        <v>22.139219015280137</v>
      </c>
      <c r="I18" s="376">
        <f t="shared" si="16"/>
        <v>38.115449915110361</v>
      </c>
      <c r="J18" s="195">
        <f t="shared" si="8"/>
        <v>3</v>
      </c>
      <c r="K18" s="123">
        <f>C18+I18</f>
        <v>87.045687121933383</v>
      </c>
      <c r="L18" s="474"/>
      <c r="M18" s="40"/>
      <c r="N18" s="40"/>
      <c r="O18" s="40"/>
      <c r="P18" s="124"/>
      <c r="Q18" s="97"/>
      <c r="R18" s="97"/>
      <c r="S18" s="98"/>
      <c r="T18" s="98"/>
      <c r="U18" s="98"/>
      <c r="V18" s="98"/>
      <c r="W18" s="98"/>
      <c r="X18" s="98"/>
      <c r="Y18" s="98"/>
      <c r="Z18" s="99"/>
      <c r="AA18" s="100"/>
      <c r="AB18" s="101"/>
      <c r="AC18" s="48"/>
      <c r="AD18" s="32"/>
      <c r="AE18" s="32"/>
      <c r="AF18" s="32"/>
      <c r="AG18" s="32"/>
      <c r="AH18" s="31"/>
      <c r="AI18" s="31"/>
    </row>
    <row r="19" spans="1:35" ht="14.4">
      <c r="A19" s="382"/>
      <c r="B19" s="131"/>
      <c r="C19" s="96"/>
      <c r="D19" s="96"/>
      <c r="E19" s="96"/>
      <c r="F19" s="96"/>
      <c r="G19" s="96"/>
      <c r="H19" s="96"/>
      <c r="I19" s="96"/>
      <c r="J19" s="96"/>
      <c r="K19" s="279"/>
      <c r="L19" s="475"/>
      <c r="M19" s="96"/>
      <c r="N19" s="103"/>
      <c r="O19" s="94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04"/>
      <c r="AA19" s="110"/>
      <c r="AB19" s="114"/>
      <c r="AC19" s="48"/>
      <c r="AD19" s="32"/>
      <c r="AE19" s="32"/>
      <c r="AF19" s="32"/>
      <c r="AG19" s="32"/>
      <c r="AH19" s="31"/>
      <c r="AI19" s="31"/>
    </row>
    <row r="20" spans="1:35">
      <c r="A20" s="87"/>
      <c r="B20" s="96"/>
      <c r="C20" s="96"/>
      <c r="D20" s="96"/>
      <c r="E20" s="96"/>
      <c r="F20" s="96"/>
      <c r="G20" s="96"/>
      <c r="H20" s="96"/>
      <c r="I20" s="96"/>
      <c r="J20" s="96"/>
      <c r="K20" s="279"/>
      <c r="L20" s="96"/>
      <c r="M20" s="96"/>
      <c r="N20" s="103"/>
      <c r="O20" s="94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04"/>
      <c r="AA20" s="110"/>
      <c r="AB20" s="114"/>
      <c r="AC20" s="48"/>
      <c r="AD20" s="32"/>
      <c r="AE20" s="32"/>
      <c r="AF20" s="32"/>
      <c r="AG20" s="32"/>
      <c r="AH20" s="31"/>
      <c r="AI20" s="31"/>
    </row>
    <row r="21" spans="1:35" ht="13.8">
      <c r="A21" s="87"/>
      <c r="B21" s="395">
        <f>(50-2.5)/(F1-F2)</f>
        <v>-0.31649786780383798</v>
      </c>
      <c r="D21" s="138"/>
      <c r="E21" s="96"/>
      <c r="F21" s="395">
        <f>(50)/(J2-J1)</f>
        <v>1.7216257668711656</v>
      </c>
      <c r="G21" s="96"/>
      <c r="I21" s="96"/>
      <c r="J21" s="96"/>
      <c r="K21" s="279"/>
      <c r="L21" s="96"/>
      <c r="M21" s="96"/>
      <c r="N21" s="103"/>
      <c r="O21" s="94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04"/>
      <c r="AA21" s="115"/>
      <c r="AB21" s="114"/>
    </row>
    <row r="22" spans="1:35" ht="13.8">
      <c r="A22" s="87" t="s">
        <v>179</v>
      </c>
      <c r="B22" s="396">
        <f>2.5-(B21*F2)</f>
        <v>50.284848081023455</v>
      </c>
      <c r="D22" s="177" t="s">
        <v>46</v>
      </c>
      <c r="E22" s="96"/>
      <c r="F22" s="396">
        <f>-(F21*J1)</f>
        <v>0</v>
      </c>
      <c r="G22" s="96"/>
      <c r="I22" s="96"/>
      <c r="J22" s="96"/>
      <c r="K22" s="279"/>
      <c r="L22" s="96"/>
      <c r="M22" s="96"/>
      <c r="N22" s="103"/>
      <c r="O22" s="94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04"/>
      <c r="AA22" s="115"/>
      <c r="AB22" s="114"/>
    </row>
    <row r="23" spans="1:35" ht="13.8">
      <c r="A23" s="87" t="s">
        <v>180</v>
      </c>
      <c r="B23" s="88"/>
      <c r="C23" s="176"/>
      <c r="D23" s="176"/>
      <c r="E23" s="88"/>
      <c r="F23" s="88"/>
      <c r="G23" s="88"/>
      <c r="H23" s="88"/>
      <c r="I23" s="88"/>
      <c r="J23" s="88"/>
      <c r="K23" s="279"/>
      <c r="L23" s="88"/>
      <c r="M23" s="88"/>
      <c r="N23" s="103"/>
      <c r="O23" s="94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104"/>
      <c r="AA23" s="115"/>
      <c r="AB23" s="114"/>
    </row>
    <row r="24" spans="1:35">
      <c r="A24" s="87"/>
      <c r="B24" s="96"/>
      <c r="C24" s="96" t="s">
        <v>46</v>
      </c>
      <c r="D24" s="179" t="s">
        <v>46</v>
      </c>
      <c r="E24" s="96"/>
      <c r="F24" s="96"/>
      <c r="G24" s="96"/>
      <c r="H24" s="96"/>
      <c r="I24" s="96"/>
      <c r="J24" s="96"/>
      <c r="K24" s="279"/>
      <c r="L24" s="96"/>
      <c r="M24" s="96"/>
      <c r="N24" s="103"/>
      <c r="O24" s="94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04"/>
      <c r="AA24" s="115"/>
      <c r="AB24" s="114"/>
    </row>
    <row r="25" spans="1:35">
      <c r="A25" s="87"/>
      <c r="B25" s="96"/>
      <c r="C25" s="96" t="s">
        <v>85</v>
      </c>
      <c r="D25" s="96"/>
      <c r="E25" s="96"/>
      <c r="F25" s="96"/>
      <c r="G25" s="96"/>
      <c r="H25" s="96"/>
      <c r="I25" s="96"/>
      <c r="J25" s="96"/>
      <c r="K25" s="279"/>
      <c r="L25" s="96"/>
      <c r="M25" s="96"/>
      <c r="N25" s="103"/>
      <c r="O25" s="94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04"/>
      <c r="AA25" s="115"/>
      <c r="AB25" s="114"/>
    </row>
    <row r="26" spans="1:3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279"/>
      <c r="L26" s="88"/>
      <c r="M26" s="88"/>
      <c r="N26" s="103"/>
      <c r="O26" s="94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104"/>
      <c r="AA26" s="115"/>
      <c r="AB26" s="114"/>
    </row>
    <row r="27" spans="1:3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279"/>
      <c r="L27" s="88"/>
      <c r="M27" s="88"/>
      <c r="N27" s="103"/>
      <c r="O27" s="94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104"/>
      <c r="AA27" s="115"/>
      <c r="AB27" s="114"/>
    </row>
    <row r="28" spans="1:35">
      <c r="A28" s="87"/>
      <c r="B28" s="96"/>
      <c r="C28" s="96"/>
      <c r="D28" s="96"/>
      <c r="E28" s="96"/>
      <c r="F28" s="96"/>
      <c r="G28" s="96"/>
      <c r="H28" s="96"/>
      <c r="I28" s="96"/>
      <c r="J28" s="96"/>
      <c r="K28" s="279"/>
      <c r="L28" s="96"/>
      <c r="M28" s="96"/>
      <c r="N28" s="103"/>
      <c r="O28" s="94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04"/>
      <c r="AA28" s="115"/>
      <c r="AB28" s="114"/>
    </row>
    <row r="29" spans="1:35">
      <c r="A29" s="87"/>
      <c r="B29" s="96"/>
      <c r="C29" s="96"/>
      <c r="D29" s="96"/>
      <c r="E29" s="96"/>
      <c r="F29" s="96"/>
      <c r="G29" s="96"/>
      <c r="H29" s="96"/>
      <c r="I29" s="96"/>
      <c r="J29" s="96"/>
      <c r="K29" s="279"/>
      <c r="L29" s="96"/>
      <c r="M29" s="96"/>
      <c r="N29" s="103"/>
      <c r="O29" s="94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04"/>
      <c r="AA29" s="115"/>
      <c r="AB29" s="114"/>
    </row>
    <row r="30" spans="1:3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279"/>
      <c r="L30" s="88"/>
      <c r="M30" s="88"/>
      <c r="N30" s="103"/>
      <c r="O30" s="94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104"/>
      <c r="AA30" s="115"/>
      <c r="AB30" s="114"/>
    </row>
    <row r="31" spans="1:35">
      <c r="A31" s="87"/>
      <c r="B31" s="116"/>
      <c r="C31" s="96"/>
      <c r="D31" s="96"/>
      <c r="E31" s="96"/>
      <c r="F31" s="96"/>
      <c r="G31" s="96"/>
      <c r="H31" s="96"/>
      <c r="I31" s="96"/>
      <c r="J31" s="96"/>
      <c r="K31" s="279"/>
      <c r="L31" s="96"/>
      <c r="M31" s="96"/>
      <c r="N31" s="103"/>
      <c r="O31" s="94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04"/>
      <c r="AA31" s="115"/>
      <c r="AB31" s="114"/>
    </row>
    <row r="32" spans="1:35">
      <c r="A32" s="87"/>
      <c r="B32" s="96"/>
      <c r="C32" s="96"/>
      <c r="D32" s="96"/>
      <c r="E32" s="96"/>
      <c r="F32" s="96"/>
      <c r="G32" s="96"/>
      <c r="H32" s="96"/>
      <c r="I32" s="96"/>
      <c r="J32" s="96"/>
      <c r="K32" s="279"/>
      <c r="L32" s="96"/>
      <c r="M32" s="96"/>
      <c r="N32" s="104"/>
      <c r="O32" s="94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04"/>
      <c r="AA32" s="115"/>
      <c r="AB32" s="86"/>
    </row>
    <row r="33" spans="1:28">
      <c r="A33" s="87"/>
      <c r="B33" s="88"/>
      <c r="C33" s="88"/>
      <c r="D33" s="172"/>
      <c r="E33" s="73"/>
      <c r="F33" s="73"/>
      <c r="G33" s="88"/>
      <c r="H33" s="88"/>
      <c r="I33" s="88"/>
      <c r="J33" s="88"/>
      <c r="K33" s="279"/>
      <c r="L33" s="88"/>
      <c r="M33" s="88"/>
      <c r="N33" s="103"/>
      <c r="O33" s="94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104"/>
      <c r="AA33" s="115"/>
      <c r="AB33" s="114"/>
    </row>
    <row r="34" spans="1:28">
      <c r="A34" s="87"/>
      <c r="B34" s="96"/>
      <c r="C34" s="96"/>
      <c r="D34" s="73"/>
      <c r="E34" s="73"/>
      <c r="F34" s="171"/>
      <c r="G34" s="168"/>
      <c r="H34" s="168"/>
      <c r="I34" s="168"/>
      <c r="J34" s="96"/>
      <c r="K34" s="279"/>
      <c r="L34" s="96"/>
      <c r="M34" s="96"/>
      <c r="N34" s="103"/>
      <c r="O34" s="94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04"/>
      <c r="AA34" s="115"/>
      <c r="AB34" s="114"/>
    </row>
    <row r="35" spans="1:28">
      <c r="A35" s="87"/>
      <c r="B35" s="96"/>
      <c r="C35" s="88"/>
      <c r="D35" s="73"/>
      <c r="E35" s="73"/>
      <c r="F35" s="73"/>
      <c r="G35" s="88"/>
      <c r="H35" s="88"/>
      <c r="I35" s="88"/>
      <c r="J35" s="88"/>
      <c r="K35" s="279"/>
      <c r="L35" s="88"/>
      <c r="M35" s="88"/>
      <c r="N35" s="103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104"/>
      <c r="AA35" s="115"/>
      <c r="AB35" s="114"/>
    </row>
    <row r="36" spans="1:28">
      <c r="A36" s="81"/>
      <c r="B36" s="88"/>
      <c r="C36" s="88"/>
      <c r="D36" s="88"/>
      <c r="E36" s="88"/>
      <c r="F36" s="88"/>
      <c r="G36" s="88"/>
      <c r="H36" s="88"/>
      <c r="I36" s="88"/>
      <c r="J36" s="88"/>
      <c r="K36" s="27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115"/>
      <c r="AB36" s="86"/>
    </row>
    <row r="37" spans="1:28">
      <c r="A37" s="81"/>
      <c r="B37" s="88"/>
      <c r="C37" s="88"/>
      <c r="D37" s="88"/>
      <c r="E37" s="88"/>
      <c r="F37" s="88"/>
      <c r="G37" s="88"/>
      <c r="H37" s="88"/>
      <c r="I37" s="88"/>
      <c r="J37" s="88"/>
      <c r="K37" s="27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115"/>
      <c r="AB37" s="86"/>
    </row>
    <row r="38" spans="1:28">
      <c r="A38" s="81"/>
      <c r="B38" s="90"/>
      <c r="C38" s="90"/>
      <c r="D38" s="90"/>
      <c r="E38" s="90"/>
      <c r="F38" s="90"/>
      <c r="G38" s="90"/>
      <c r="H38" s="90"/>
      <c r="I38" s="90"/>
      <c r="J38" s="90"/>
      <c r="K38" s="280"/>
      <c r="L38" s="90"/>
      <c r="M38" s="90"/>
      <c r="N38" s="90"/>
      <c r="O38" s="88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115"/>
      <c r="AB38" s="86"/>
    </row>
    <row r="39" spans="1:28">
      <c r="A39" s="106"/>
      <c r="B39" s="88"/>
      <c r="C39" s="88"/>
      <c r="D39" s="88"/>
      <c r="E39" s="88"/>
      <c r="F39" s="88"/>
      <c r="G39" s="88"/>
      <c r="H39" s="88"/>
      <c r="I39" s="88"/>
      <c r="J39" s="88"/>
      <c r="K39" s="279"/>
      <c r="L39" s="88"/>
      <c r="M39" s="88"/>
      <c r="N39" s="103"/>
      <c r="O39" s="94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104"/>
      <c r="AA39" s="115"/>
      <c r="AB39" s="114"/>
    </row>
    <row r="40" spans="1:28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279"/>
      <c r="L40" s="88"/>
      <c r="M40" s="88"/>
      <c r="N40" s="103"/>
      <c r="O40" s="94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104"/>
      <c r="AA40" s="115"/>
      <c r="AB40" s="114"/>
    </row>
    <row r="41" spans="1:28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279"/>
      <c r="L41" s="88"/>
      <c r="M41" s="88"/>
      <c r="N41" s="103"/>
      <c r="O41" s="94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104"/>
      <c r="AA41" s="115"/>
      <c r="AB41" s="114"/>
    </row>
    <row r="42" spans="1:28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279"/>
      <c r="L42" s="88"/>
      <c r="M42" s="88"/>
      <c r="N42" s="103"/>
      <c r="O42" s="94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104"/>
      <c r="AA42" s="115"/>
      <c r="AB42" s="114"/>
    </row>
    <row r="43" spans="1:28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279"/>
      <c r="L43" s="88"/>
      <c r="M43" s="88"/>
      <c r="N43" s="103"/>
      <c r="O43" s="94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104"/>
      <c r="AA43" s="115"/>
      <c r="AB43" s="114"/>
    </row>
    <row r="44" spans="1:28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279"/>
      <c r="L44" s="88"/>
      <c r="M44" s="88"/>
      <c r="N44" s="103"/>
      <c r="O44" s="94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104"/>
      <c r="AA44" s="115"/>
      <c r="AB44" s="114"/>
    </row>
    <row r="45" spans="1:28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279"/>
      <c r="L45" s="88"/>
      <c r="M45" s="88"/>
      <c r="N45" s="103"/>
      <c r="O45" s="94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104"/>
      <c r="AA45" s="115"/>
      <c r="AB45" s="114"/>
    </row>
    <row r="46" spans="1:28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279"/>
      <c r="L46" s="88"/>
      <c r="M46" s="88"/>
      <c r="N46" s="103"/>
      <c r="O46" s="94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104"/>
      <c r="AA46" s="115"/>
      <c r="AB46" s="114"/>
    </row>
    <row r="47" spans="1:28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279"/>
      <c r="L47" s="88"/>
      <c r="M47" s="88"/>
      <c r="N47" s="103"/>
      <c r="O47" s="94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104"/>
      <c r="AA47" s="115"/>
      <c r="AB47" s="114"/>
    </row>
    <row r="48" spans="1:28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279"/>
      <c r="L48" s="88"/>
      <c r="M48" s="88"/>
      <c r="N48" s="103"/>
      <c r="O48" s="94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104"/>
      <c r="AA48" s="115"/>
      <c r="AB48" s="114"/>
    </row>
    <row r="49" spans="1:28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279"/>
      <c r="L49" s="88"/>
      <c r="M49" s="88"/>
      <c r="N49" s="103"/>
      <c r="O49" s="94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104"/>
      <c r="AA49" s="115"/>
      <c r="AB49" s="114"/>
    </row>
    <row r="50" spans="1:28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279"/>
      <c r="L50" s="88"/>
      <c r="M50" s="88"/>
      <c r="N50" s="103"/>
      <c r="O50" s="94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104"/>
      <c r="AA50" s="115"/>
      <c r="AB50" s="114"/>
    </row>
    <row r="51" spans="1:28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279"/>
      <c r="L51" s="88"/>
      <c r="M51" s="88"/>
      <c r="N51" s="103"/>
      <c r="O51" s="94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104"/>
      <c r="AA51" s="115"/>
      <c r="AB51" s="114"/>
    </row>
    <row r="52" spans="1:28">
      <c r="A52" s="87"/>
      <c r="B52" s="96"/>
      <c r="C52" s="96"/>
      <c r="D52" s="96"/>
      <c r="E52" s="96"/>
      <c r="F52" s="96"/>
      <c r="G52" s="96"/>
      <c r="H52" s="96"/>
      <c r="I52" s="96"/>
      <c r="J52" s="96"/>
      <c r="K52" s="279"/>
      <c r="L52" s="96"/>
      <c r="M52" s="96"/>
      <c r="N52" s="104"/>
      <c r="O52" s="94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104"/>
      <c r="AA52" s="115"/>
      <c r="AB52" s="86"/>
    </row>
    <row r="53" spans="1:28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279"/>
      <c r="L53" s="88"/>
      <c r="M53" s="88"/>
      <c r="N53" s="103"/>
      <c r="O53" s="94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104"/>
      <c r="AA53" s="115"/>
      <c r="AB53" s="114"/>
    </row>
    <row r="54" spans="1:28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279"/>
      <c r="L54" s="88"/>
      <c r="M54" s="88"/>
      <c r="N54" s="103"/>
      <c r="O54" s="94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104"/>
      <c r="AA54" s="115"/>
      <c r="AB54" s="114"/>
    </row>
    <row r="55" spans="1:28">
      <c r="A55" s="87"/>
      <c r="B55" s="115"/>
      <c r="C55" s="115"/>
      <c r="D55" s="115"/>
      <c r="E55" s="115"/>
      <c r="F55" s="115"/>
      <c r="G55" s="115"/>
      <c r="H55" s="115"/>
      <c r="I55" s="115"/>
      <c r="J55" s="115"/>
      <c r="K55" s="281"/>
      <c r="L55" s="115"/>
      <c r="M55" s="115"/>
      <c r="N55" s="107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08"/>
      <c r="AA55" s="115"/>
      <c r="AB55" s="86"/>
    </row>
    <row r="56" spans="1:28">
      <c r="A56" s="92"/>
      <c r="B56" s="115"/>
      <c r="C56" s="115"/>
      <c r="D56" s="115"/>
      <c r="E56" s="115"/>
      <c r="F56" s="115"/>
      <c r="G56" s="115"/>
      <c r="H56" s="115"/>
      <c r="I56" s="115"/>
      <c r="J56" s="115"/>
      <c r="K56" s="281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86"/>
    </row>
    <row r="57" spans="1:28">
      <c r="A57" s="92"/>
      <c r="B57" s="86"/>
      <c r="C57" s="86"/>
      <c r="D57" s="86"/>
      <c r="E57" s="86"/>
      <c r="F57" s="86"/>
      <c r="G57" s="86"/>
      <c r="H57" s="86"/>
      <c r="I57" s="86"/>
      <c r="J57" s="86"/>
      <c r="K57" s="282"/>
      <c r="L57" s="86"/>
      <c r="M57" s="86"/>
      <c r="N57" s="11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</row>
    <row r="58" spans="1:28">
      <c r="A58" s="92"/>
      <c r="B58" s="93"/>
      <c r="C58" s="93"/>
      <c r="D58" s="93"/>
      <c r="E58" s="93"/>
      <c r="F58" s="93"/>
      <c r="G58" s="93"/>
      <c r="H58" s="93"/>
      <c r="I58" s="93"/>
      <c r="J58" s="93"/>
      <c r="K58" s="283"/>
      <c r="L58" s="93"/>
      <c r="M58" s="93"/>
      <c r="N58" s="105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1:28">
      <c r="A59" s="92"/>
      <c r="B59" s="93"/>
      <c r="C59" s="93"/>
      <c r="D59" s="93"/>
      <c r="E59" s="93"/>
      <c r="F59" s="93"/>
      <c r="G59" s="93"/>
      <c r="H59" s="93"/>
      <c r="I59" s="93"/>
      <c r="J59" s="93"/>
      <c r="K59" s="283"/>
      <c r="L59" s="93"/>
      <c r="M59" s="93"/>
      <c r="N59" s="105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1:28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283"/>
      <c r="L60" s="93"/>
      <c r="M60" s="93"/>
      <c r="N60" s="105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1:28">
      <c r="A61" s="92"/>
      <c r="B61" s="93"/>
      <c r="C61" s="93"/>
      <c r="D61" s="93"/>
      <c r="E61" s="93"/>
      <c r="F61" s="93"/>
      <c r="G61" s="93"/>
      <c r="H61" s="93"/>
      <c r="I61" s="93"/>
      <c r="J61" s="93"/>
      <c r="K61" s="283"/>
      <c r="L61" s="93"/>
      <c r="M61" s="93"/>
      <c r="N61" s="105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1:28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284"/>
      <c r="L62" s="93"/>
      <c r="M62" s="93"/>
      <c r="N62" s="105"/>
      <c r="O62" s="93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2"/>
      <c r="AA62" s="92"/>
      <c r="AB62" s="93"/>
    </row>
    <row r="63" spans="1:28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284"/>
      <c r="L63" s="93"/>
      <c r="M63" s="93"/>
      <c r="N63" s="105"/>
      <c r="O63" s="93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2"/>
      <c r="AA63" s="92"/>
      <c r="AB63" s="93"/>
    </row>
    <row r="64" spans="1:28">
      <c r="A64" s="92"/>
      <c r="N64" s="42"/>
    </row>
    <row r="65" spans="14:14">
      <c r="N65" s="42"/>
    </row>
    <row r="66" spans="14:14">
      <c r="N66" s="42"/>
    </row>
    <row r="67" spans="14:14">
      <c r="N67" s="42"/>
    </row>
    <row r="68" spans="14:14">
      <c r="N68" s="42"/>
    </row>
    <row r="69" spans="14:14">
      <c r="N69" s="42"/>
    </row>
    <row r="70" spans="14:14">
      <c r="N70" s="42"/>
    </row>
    <row r="71" spans="14:14">
      <c r="N71" s="42"/>
    </row>
    <row r="72" spans="14:14">
      <c r="N72" s="42"/>
    </row>
    <row r="73" spans="14:14">
      <c r="N73" s="42"/>
    </row>
    <row r="74" spans="14:14">
      <c r="N74" s="42"/>
    </row>
    <row r="75" spans="14:14">
      <c r="N75" s="42"/>
    </row>
    <row r="76" spans="14:14">
      <c r="N76" s="42"/>
    </row>
    <row r="77" spans="14:14">
      <c r="N77" s="42"/>
    </row>
    <row r="78" spans="14:14">
      <c r="N78" s="42"/>
    </row>
    <row r="79" spans="14:14">
      <c r="N79" s="42"/>
    </row>
    <row r="80" spans="14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  <row r="87" spans="14:14">
      <c r="N87" s="42"/>
    </row>
    <row r="88" spans="14:14">
      <c r="N88" s="42"/>
    </row>
    <row r="89" spans="14:14">
      <c r="N89" s="42"/>
    </row>
    <row r="90" spans="14:14">
      <c r="N90" s="42"/>
    </row>
    <row r="91" spans="14:14">
      <c r="N91" s="42"/>
    </row>
    <row r="92" spans="14:14">
      <c r="N92" s="42"/>
    </row>
    <row r="93" spans="14:14">
      <c r="N93" s="42"/>
    </row>
    <row r="94" spans="14:14">
      <c r="N94" s="42"/>
    </row>
    <row r="95" spans="14:14">
      <c r="N95" s="42"/>
    </row>
    <row r="96" spans="14:14">
      <c r="N96" s="42"/>
    </row>
    <row r="97" spans="14:14">
      <c r="N97" s="42"/>
    </row>
  </sheetData>
  <phoneticPr fontId="23" type="noConversion"/>
  <pageMargins left="0.75" right="0.75" top="1" bottom="1" header="0.5" footer="0.5"/>
  <pageSetup scale="7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topLeftCell="A2" workbookViewId="0">
      <selection activeCell="D15" sqref="D15"/>
    </sheetView>
  </sheetViews>
  <sheetFormatPr defaultColWidth="8.88671875" defaultRowHeight="13.2"/>
  <cols>
    <col min="1" max="1" width="37.6640625" customWidth="1"/>
    <col min="2" max="2" width="17.6640625" bestFit="1" customWidth="1"/>
    <col min="3" max="3" width="14.6640625" style="167" customWidth="1"/>
    <col min="4" max="4" width="8.88671875" style="3"/>
  </cols>
  <sheetData>
    <row r="1" spans="1:5" ht="17.399999999999999">
      <c r="A1" s="7" t="s">
        <v>210</v>
      </c>
      <c r="B1" s="6"/>
      <c r="C1" s="247"/>
      <c r="D1" s="18"/>
      <c r="E1" s="6"/>
    </row>
    <row r="2" spans="1:5">
      <c r="A2" s="210"/>
      <c r="B2" s="10"/>
      <c r="C2" s="247"/>
      <c r="D2" s="262"/>
      <c r="E2" s="6"/>
    </row>
    <row r="3" spans="1:5">
      <c r="A3" s="12"/>
      <c r="B3" s="15" t="s">
        <v>17</v>
      </c>
      <c r="C3" s="55" t="s">
        <v>14</v>
      </c>
      <c r="D3" s="262"/>
      <c r="E3" s="262"/>
    </row>
    <row r="4" spans="1:5" ht="14.4">
      <c r="A4" s="319" t="s">
        <v>190</v>
      </c>
      <c r="B4" s="293" t="s">
        <v>227</v>
      </c>
      <c r="C4" s="55">
        <f>IF(B4="fail",0,50)</f>
        <v>50</v>
      </c>
      <c r="D4" s="262"/>
      <c r="E4" s="6"/>
    </row>
    <row r="5" spans="1:5" ht="14.4">
      <c r="A5" s="319" t="s">
        <v>191</v>
      </c>
      <c r="B5" s="293" t="s">
        <v>227</v>
      </c>
      <c r="C5" s="55">
        <f t="shared" ref="C5:C16" si="0">IF(B5="fail",0,50)</f>
        <v>50</v>
      </c>
      <c r="D5" s="262"/>
      <c r="E5" s="6"/>
    </row>
    <row r="6" spans="1:5" ht="14.4">
      <c r="A6" s="319" t="s">
        <v>192</v>
      </c>
      <c r="B6" s="293" t="s">
        <v>227</v>
      </c>
      <c r="C6" s="55">
        <f t="shared" si="0"/>
        <v>50</v>
      </c>
      <c r="D6" s="262"/>
      <c r="E6" s="6"/>
    </row>
    <row r="7" spans="1:5" s="206" customFormat="1" ht="14.4">
      <c r="A7" s="432" t="s">
        <v>213</v>
      </c>
      <c r="B7" s="397" t="s">
        <v>228</v>
      </c>
      <c r="C7" s="55">
        <f t="shared" si="0"/>
        <v>0</v>
      </c>
      <c r="D7" s="232"/>
      <c r="E7" s="210"/>
    </row>
    <row r="8" spans="1:5" s="254" customFormat="1" ht="14.4">
      <c r="A8" s="319" t="s">
        <v>193</v>
      </c>
      <c r="B8" s="293" t="s">
        <v>228</v>
      </c>
      <c r="C8" s="55">
        <f t="shared" si="0"/>
        <v>0</v>
      </c>
      <c r="D8" s="232"/>
      <c r="E8" s="253"/>
    </row>
    <row r="9" spans="1:5" ht="14.4">
      <c r="A9" s="319" t="s">
        <v>194</v>
      </c>
      <c r="B9" s="293" t="s">
        <v>227</v>
      </c>
      <c r="C9" s="55">
        <f t="shared" si="0"/>
        <v>50</v>
      </c>
      <c r="D9" s="18"/>
      <c r="E9" s="6"/>
    </row>
    <row r="10" spans="1:5" ht="14.4">
      <c r="A10" s="383" t="s">
        <v>195</v>
      </c>
      <c r="B10" s="293" t="s">
        <v>227</v>
      </c>
      <c r="C10" s="55">
        <f t="shared" si="0"/>
        <v>50</v>
      </c>
      <c r="D10" s="18"/>
      <c r="E10" s="6"/>
    </row>
    <row r="11" spans="1:5" ht="14.4">
      <c r="A11" s="319" t="s">
        <v>196</v>
      </c>
      <c r="B11" s="293" t="s">
        <v>228</v>
      </c>
      <c r="C11" s="55">
        <f t="shared" si="0"/>
        <v>0</v>
      </c>
      <c r="D11" s="18"/>
      <c r="E11" s="6"/>
    </row>
    <row r="12" spans="1:5" ht="14.4">
      <c r="A12" s="319" t="s">
        <v>197</v>
      </c>
      <c r="B12" s="397" t="s">
        <v>228</v>
      </c>
      <c r="C12" s="55">
        <f t="shared" si="0"/>
        <v>0</v>
      </c>
      <c r="D12" s="18"/>
      <c r="E12" s="6"/>
    </row>
    <row r="13" spans="1:5" s="140" customFormat="1" ht="14.4">
      <c r="A13" s="319" t="s">
        <v>198</v>
      </c>
      <c r="B13" s="293" t="s">
        <v>227</v>
      </c>
      <c r="C13" s="55">
        <f t="shared" si="0"/>
        <v>50</v>
      </c>
      <c r="D13" s="141"/>
      <c r="E13" s="133"/>
    </row>
    <row r="14" spans="1:5" s="140" customFormat="1" ht="14.4">
      <c r="A14" s="429" t="s">
        <v>199</v>
      </c>
      <c r="B14" s="293" t="s">
        <v>228</v>
      </c>
      <c r="C14" s="55">
        <f t="shared" si="0"/>
        <v>0</v>
      </c>
      <c r="D14" s="141"/>
      <c r="E14" s="133"/>
    </row>
    <row r="15" spans="1:5" s="140" customFormat="1" ht="28.8">
      <c r="A15" s="435" t="s">
        <v>216</v>
      </c>
      <c r="B15" s="397" t="s">
        <v>228</v>
      </c>
      <c r="C15" s="55">
        <f t="shared" si="0"/>
        <v>0</v>
      </c>
      <c r="D15" s="141"/>
      <c r="E15" s="133"/>
    </row>
    <row r="16" spans="1:5" ht="14.4">
      <c r="A16" s="429" t="s">
        <v>200</v>
      </c>
      <c r="B16" s="293" t="s">
        <v>227</v>
      </c>
      <c r="C16" s="55">
        <f t="shared" si="0"/>
        <v>50</v>
      </c>
    </row>
  </sheetData>
  <phoneticPr fontId="23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3"/>
  <sheetViews>
    <sheetView workbookViewId="0">
      <selection activeCell="G22" sqref="G22"/>
    </sheetView>
  </sheetViews>
  <sheetFormatPr defaultColWidth="8.88671875" defaultRowHeight="13.2"/>
  <cols>
    <col min="1" max="1" width="36.44140625" customWidth="1"/>
    <col min="2" max="2" width="10" customWidth="1"/>
    <col min="3" max="3" width="10.33203125" customWidth="1"/>
    <col min="4" max="4" width="13.44140625" customWidth="1"/>
    <col min="5" max="5" width="10.10937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17.399999999999999">
      <c r="A1" s="479" t="s">
        <v>231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8"/>
      <c r="B2" s="6"/>
      <c r="D2" s="9" t="s">
        <v>35</v>
      </c>
      <c r="E2" s="67">
        <f>MAX(D6:D18)</f>
        <v>65.97</v>
      </c>
      <c r="F2" s="6" t="s">
        <v>16</v>
      </c>
      <c r="G2" s="6"/>
      <c r="H2" s="6"/>
      <c r="I2" s="9"/>
      <c r="J2" s="6"/>
      <c r="K2" s="6"/>
      <c r="L2" s="6"/>
    </row>
    <row r="3" spans="1:12">
      <c r="A3" s="205"/>
      <c r="B3" s="6"/>
      <c r="D3" s="9" t="s">
        <v>36</v>
      </c>
      <c r="E3" s="67">
        <f>MIN(D6:D18)</f>
        <v>50.79</v>
      </c>
      <c r="F3" s="6" t="s">
        <v>16</v>
      </c>
      <c r="G3" s="6"/>
      <c r="H3" s="6"/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>
      <c r="A5" s="76"/>
      <c r="B5" s="39" t="s">
        <v>185</v>
      </c>
      <c r="C5" s="39" t="s">
        <v>186</v>
      </c>
      <c r="D5" s="39" t="s">
        <v>34</v>
      </c>
      <c r="E5" s="39" t="s">
        <v>9</v>
      </c>
      <c r="F5" s="23" t="s">
        <v>28</v>
      </c>
      <c r="G5" s="23"/>
      <c r="H5" s="497" t="s">
        <v>88</v>
      </c>
      <c r="I5" s="14"/>
      <c r="J5" s="13"/>
      <c r="K5" s="5"/>
      <c r="L5" s="6"/>
    </row>
    <row r="6" spans="1:12" ht="14.4">
      <c r="A6" s="319" t="s">
        <v>190</v>
      </c>
      <c r="B6" s="480">
        <v>64.069999999999993</v>
      </c>
      <c r="C6" s="487">
        <v>60.79</v>
      </c>
      <c r="D6" s="365">
        <f>MIN(B6:C6)</f>
        <v>60.79</v>
      </c>
      <c r="E6" s="57">
        <f>-$E$22*D6+$E$23</f>
        <v>25.59288537549412</v>
      </c>
      <c r="F6" s="132">
        <f>RANK(E6,$E$6:$E$18)</f>
        <v>8</v>
      </c>
      <c r="G6" s="52"/>
      <c r="H6" s="246" t="s">
        <v>232</v>
      </c>
      <c r="I6" s="26"/>
      <c r="J6" s="27"/>
      <c r="K6" s="18"/>
      <c r="L6" s="6"/>
    </row>
    <row r="7" spans="1:12" ht="14.4">
      <c r="A7" s="319" t="s">
        <v>191</v>
      </c>
      <c r="B7" s="482">
        <v>55.95</v>
      </c>
      <c r="C7" s="471">
        <v>53.06</v>
      </c>
      <c r="D7" s="365">
        <f t="shared" ref="D7:D18" si="0">MIN(B7:C7)</f>
        <v>53.06</v>
      </c>
      <c r="E7" s="57">
        <f t="shared" ref="E7:E18" si="1">-$E$22*D7+$E$23</f>
        <v>63.784584980237184</v>
      </c>
      <c r="F7" s="132">
        <f t="shared" ref="F7:F18" si="2">RANK(E7,$E$6:$E$18)</f>
        <v>3</v>
      </c>
      <c r="G7" s="75"/>
      <c r="H7" s="498" t="s">
        <v>233</v>
      </c>
      <c r="I7" s="26"/>
      <c r="J7" s="27"/>
      <c r="K7" s="18"/>
      <c r="L7" s="6"/>
    </row>
    <row r="8" spans="1:12" ht="14.4">
      <c r="A8" s="319" t="s">
        <v>192</v>
      </c>
      <c r="B8" s="482">
        <v>55.57</v>
      </c>
      <c r="C8" s="471">
        <v>50.79</v>
      </c>
      <c r="D8" s="365">
        <f t="shared" si="0"/>
        <v>50.79</v>
      </c>
      <c r="E8" s="57">
        <f t="shared" si="1"/>
        <v>75.000000000000028</v>
      </c>
      <c r="F8" s="132">
        <f t="shared" si="2"/>
        <v>1</v>
      </c>
      <c r="G8" s="52"/>
      <c r="H8" s="246" t="s">
        <v>232</v>
      </c>
      <c r="I8" s="26"/>
      <c r="J8" s="27"/>
      <c r="K8" s="18"/>
      <c r="L8" s="6"/>
    </row>
    <row r="9" spans="1:12" s="206" customFormat="1" ht="14.4">
      <c r="A9" s="432" t="s">
        <v>213</v>
      </c>
      <c r="B9" s="501" t="s">
        <v>219</v>
      </c>
      <c r="C9" s="502" t="s">
        <v>219</v>
      </c>
      <c r="D9" s="365" t="s">
        <v>219</v>
      </c>
      <c r="E9" s="57"/>
      <c r="F9" s="132"/>
      <c r="G9" s="233"/>
      <c r="H9" s="246"/>
      <c r="I9" s="241"/>
      <c r="J9" s="204"/>
      <c r="K9" s="232"/>
      <c r="L9" s="210"/>
    </row>
    <row r="10" spans="1:12" s="206" customFormat="1" ht="14.4">
      <c r="A10" s="319" t="s">
        <v>193</v>
      </c>
      <c r="B10" s="503">
        <v>58.81</v>
      </c>
      <c r="C10" s="504">
        <v>54.86</v>
      </c>
      <c r="D10" s="365">
        <f t="shared" si="0"/>
        <v>54.86</v>
      </c>
      <c r="E10" s="57">
        <f t="shared" si="1"/>
        <v>54.891304347826122</v>
      </c>
      <c r="F10" s="132">
        <f t="shared" si="2"/>
        <v>5</v>
      </c>
      <c r="G10" s="233"/>
      <c r="H10" s="246" t="s">
        <v>233</v>
      </c>
      <c r="I10" s="241"/>
      <c r="J10" s="204"/>
      <c r="K10" s="232"/>
      <c r="L10" s="210"/>
    </row>
    <row r="11" spans="1:12" ht="14.4">
      <c r="A11" s="319" t="s">
        <v>194</v>
      </c>
      <c r="B11" s="503">
        <v>69.8</v>
      </c>
      <c r="C11" s="504">
        <v>65.97</v>
      </c>
      <c r="D11" s="365">
        <f t="shared" si="0"/>
        <v>65.97</v>
      </c>
      <c r="E11" s="57">
        <f t="shared" si="1"/>
        <v>0</v>
      </c>
      <c r="F11" s="132"/>
      <c r="G11" s="52"/>
      <c r="H11" s="246" t="s">
        <v>234</v>
      </c>
      <c r="I11" s="26"/>
      <c r="J11" s="27"/>
      <c r="K11" s="18"/>
      <c r="L11" s="6"/>
    </row>
    <row r="12" spans="1:12" ht="14.4">
      <c r="A12" s="383" t="s">
        <v>195</v>
      </c>
      <c r="B12" s="503">
        <v>54.5</v>
      </c>
      <c r="C12" s="504">
        <v>54.27</v>
      </c>
      <c r="D12" s="365">
        <f t="shared" si="0"/>
        <v>54.27</v>
      </c>
      <c r="E12" s="57">
        <f t="shared" si="1"/>
        <v>57.806324110671937</v>
      </c>
      <c r="F12" s="132">
        <f t="shared" si="2"/>
        <v>4</v>
      </c>
      <c r="G12" s="52"/>
      <c r="H12" s="314"/>
      <c r="I12" s="26"/>
      <c r="J12" s="27"/>
      <c r="K12" s="18"/>
      <c r="L12" s="6"/>
    </row>
    <row r="13" spans="1:12" ht="14.4">
      <c r="A13" s="319" t="s">
        <v>196</v>
      </c>
      <c r="B13" s="503">
        <v>55.81</v>
      </c>
      <c r="C13" s="504">
        <v>56.17</v>
      </c>
      <c r="D13" s="365">
        <f t="shared" si="0"/>
        <v>55.81</v>
      </c>
      <c r="E13" s="57">
        <f t="shared" si="1"/>
        <v>50.197628458498002</v>
      </c>
      <c r="F13" s="132">
        <f t="shared" si="2"/>
        <v>6</v>
      </c>
      <c r="G13" s="52"/>
      <c r="H13" s="246" t="s">
        <v>235</v>
      </c>
      <c r="I13" s="26"/>
      <c r="J13" s="27"/>
      <c r="K13" s="18"/>
      <c r="L13" s="6"/>
    </row>
    <row r="14" spans="1:12" ht="14.25" customHeight="1">
      <c r="A14" s="319" t="s">
        <v>197</v>
      </c>
      <c r="B14" s="501" t="s">
        <v>219</v>
      </c>
      <c r="C14" s="505" t="s">
        <v>219</v>
      </c>
      <c r="D14" s="365" t="s">
        <v>219</v>
      </c>
      <c r="E14" s="57"/>
      <c r="F14" s="132">
        <f t="shared" si="2"/>
        <v>10</v>
      </c>
      <c r="G14" s="52"/>
      <c r="H14" s="498"/>
      <c r="I14" s="26"/>
      <c r="J14" s="27"/>
      <c r="K14" s="18"/>
      <c r="L14" s="6"/>
    </row>
    <row r="15" spans="1:12" ht="14.4">
      <c r="A15" s="319" t="s">
        <v>198</v>
      </c>
      <c r="B15" s="503">
        <v>65.81</v>
      </c>
      <c r="C15" s="504">
        <v>59.59</v>
      </c>
      <c r="D15" s="365">
        <f t="shared" si="0"/>
        <v>59.59</v>
      </c>
      <c r="E15" s="57">
        <f t="shared" si="1"/>
        <v>31.52173913043481</v>
      </c>
      <c r="F15" s="132">
        <f t="shared" si="2"/>
        <v>7</v>
      </c>
      <c r="G15" s="52"/>
      <c r="H15" s="498" t="s">
        <v>232</v>
      </c>
      <c r="I15" s="26"/>
      <c r="J15" s="27"/>
      <c r="K15" s="18"/>
      <c r="L15" s="6"/>
    </row>
    <row r="16" spans="1:12" ht="14.4">
      <c r="A16" s="429" t="s">
        <v>199</v>
      </c>
      <c r="B16" s="503">
        <v>52.49</v>
      </c>
      <c r="C16" s="506">
        <v>58.79</v>
      </c>
      <c r="D16" s="365">
        <f t="shared" si="0"/>
        <v>52.49</v>
      </c>
      <c r="E16" s="57">
        <f t="shared" si="1"/>
        <v>66.600790513833999</v>
      </c>
      <c r="F16" s="132">
        <f t="shared" si="2"/>
        <v>2</v>
      </c>
      <c r="G16" s="52"/>
      <c r="H16" s="498" t="s">
        <v>236</v>
      </c>
      <c r="I16" s="26"/>
      <c r="J16" s="27"/>
      <c r="K16" s="18"/>
      <c r="L16" s="6"/>
    </row>
    <row r="17" spans="1:12" s="140" customFormat="1" ht="28.8">
      <c r="A17" s="435" t="s">
        <v>216</v>
      </c>
      <c r="B17" s="501" t="s">
        <v>219</v>
      </c>
      <c r="C17" s="502" t="s">
        <v>219</v>
      </c>
      <c r="D17" s="365" t="s">
        <v>219</v>
      </c>
      <c r="E17" s="57" t="s">
        <v>46</v>
      </c>
      <c r="F17" s="132"/>
      <c r="G17" s="145"/>
      <c r="H17" s="246"/>
      <c r="I17" s="152"/>
      <c r="J17" s="153"/>
      <c r="K17" s="141"/>
      <c r="L17" s="133"/>
    </row>
    <row r="18" spans="1:12" ht="14.4">
      <c r="A18" s="429" t="s">
        <v>200</v>
      </c>
      <c r="B18" s="482">
        <v>61.18</v>
      </c>
      <c r="C18" s="483">
        <v>61.99</v>
      </c>
      <c r="D18" s="365">
        <f t="shared" si="0"/>
        <v>61.18</v>
      </c>
      <c r="E18" s="57">
        <f t="shared" si="1"/>
        <v>23.666007905138372</v>
      </c>
      <c r="F18" s="132">
        <f t="shared" si="2"/>
        <v>9</v>
      </c>
      <c r="G18" s="6"/>
      <c r="H18" s="246" t="s">
        <v>234</v>
      </c>
      <c r="I18" s="6"/>
      <c r="J18" s="6"/>
      <c r="K18" s="6"/>
      <c r="L18" s="6"/>
    </row>
    <row r="19" spans="1:12">
      <c r="B19" s="136"/>
    </row>
    <row r="21" spans="1:12">
      <c r="D21" s="314" t="s">
        <v>147</v>
      </c>
      <c r="E21" s="314"/>
    </row>
    <row r="22" spans="1:12">
      <c r="D22" s="314" t="s">
        <v>144</v>
      </c>
      <c r="E22" s="326">
        <f>75/(E2-E3)</f>
        <v>4.9407114624505928</v>
      </c>
    </row>
    <row r="23" spans="1:12">
      <c r="D23" s="314" t="s">
        <v>145</v>
      </c>
      <c r="E23" s="257">
        <f>E22*E2</f>
        <v>325.93873517786562</v>
      </c>
    </row>
  </sheetData>
  <phoneticPr fontId="23" type="noConversion"/>
  <printOptions gridLines="1"/>
  <pageMargins left="0.75" right="0.75" top="1" bottom="1" header="0.5" footer="0.5"/>
  <pageSetup scale="82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29"/>
  <sheetViews>
    <sheetView topLeftCell="A3" zoomScaleNormal="100" zoomScalePageLayoutView="125" workbookViewId="0">
      <selection activeCell="I9" sqref="I9"/>
    </sheetView>
  </sheetViews>
  <sheetFormatPr defaultColWidth="8.88671875" defaultRowHeight="13.2"/>
  <cols>
    <col min="1" max="1" width="36.33203125" customWidth="1"/>
    <col min="2" max="2" width="12.44140625" customWidth="1"/>
    <col min="3" max="3" width="12.6640625" style="3" customWidth="1"/>
    <col min="4" max="4" width="12.33203125" customWidth="1"/>
    <col min="5" max="5" width="14" customWidth="1"/>
    <col min="6" max="6" width="10.6640625" customWidth="1"/>
    <col min="7" max="7" width="9.88671875" customWidth="1"/>
    <col min="8" max="8" width="15.6640625" style="167" customWidth="1"/>
    <col min="9" max="9" width="13.44140625" customWidth="1"/>
    <col min="10" max="10" width="5.44140625" style="167" bestFit="1" customWidth="1"/>
    <col min="11" max="11" width="24" customWidth="1"/>
  </cols>
  <sheetData>
    <row r="1" spans="1:13" ht="17.399999999999999">
      <c r="A1" s="7" t="s">
        <v>211</v>
      </c>
      <c r="B1" s="7"/>
      <c r="C1" s="18"/>
      <c r="D1" s="6"/>
      <c r="E1" s="6"/>
      <c r="F1" s="6"/>
      <c r="G1" s="6"/>
      <c r="H1" s="247"/>
      <c r="I1" s="6"/>
      <c r="J1" s="247"/>
      <c r="K1" s="6"/>
    </row>
    <row r="2" spans="1:13">
      <c r="A2" s="24"/>
      <c r="B2" s="24"/>
      <c r="C2" s="52"/>
      <c r="D2" s="24"/>
      <c r="E2" s="24"/>
      <c r="F2" s="24"/>
      <c r="G2" s="24"/>
      <c r="H2" s="263"/>
      <c r="I2" s="24"/>
      <c r="J2" s="247"/>
      <c r="K2" s="6"/>
    </row>
    <row r="3" spans="1:13" s="157" customFormat="1" ht="39.6">
      <c r="A3" s="156"/>
      <c r="B3" s="39" t="s">
        <v>41</v>
      </c>
      <c r="C3" s="39" t="s">
        <v>7</v>
      </c>
      <c r="D3" s="39" t="s">
        <v>63</v>
      </c>
      <c r="E3" s="39" t="s">
        <v>55</v>
      </c>
      <c r="F3" s="39" t="s">
        <v>89</v>
      </c>
      <c r="G3" s="39" t="s">
        <v>8</v>
      </c>
      <c r="H3" s="227" t="s">
        <v>64</v>
      </c>
      <c r="I3" s="39" t="s">
        <v>65</v>
      </c>
      <c r="J3" s="36" t="s">
        <v>62</v>
      </c>
      <c r="K3" s="39" t="s">
        <v>51</v>
      </c>
    </row>
    <row r="4" spans="1:13" s="388" customFormat="1" ht="14.4">
      <c r="A4" s="319" t="s">
        <v>190</v>
      </c>
      <c r="B4" s="293"/>
      <c r="C4" s="293"/>
      <c r="D4" s="293"/>
      <c r="E4" s="293"/>
      <c r="F4" s="293"/>
      <c r="G4" s="293"/>
      <c r="H4" s="293">
        <v>100</v>
      </c>
      <c r="I4" s="384"/>
      <c r="J4" s="385">
        <f t="shared" ref="J4:J16" si="0">SUM(B4:I4)</f>
        <v>100</v>
      </c>
      <c r="K4" s="386"/>
    </row>
    <row r="5" spans="1:13" s="388" customFormat="1" ht="14.4">
      <c r="A5" s="319" t="s">
        <v>191</v>
      </c>
      <c r="B5" s="293"/>
      <c r="C5" s="293"/>
      <c r="D5" s="293"/>
      <c r="E5" s="293"/>
      <c r="F5" s="293"/>
      <c r="G5" s="293"/>
      <c r="H5" s="293"/>
      <c r="I5" s="293"/>
      <c r="J5" s="385">
        <f t="shared" si="0"/>
        <v>0</v>
      </c>
      <c r="K5" s="386"/>
    </row>
    <row r="6" spans="1:13" s="388" customFormat="1" ht="14.4">
      <c r="A6" s="319" t="s">
        <v>192</v>
      </c>
      <c r="B6" s="293"/>
      <c r="C6" s="293"/>
      <c r="D6" s="293"/>
      <c r="E6" s="293"/>
      <c r="F6" s="293"/>
      <c r="G6" s="293"/>
      <c r="H6" s="293">
        <v>100</v>
      </c>
      <c r="I6" s="384"/>
      <c r="J6" s="385">
        <f t="shared" si="0"/>
        <v>100</v>
      </c>
      <c r="K6" s="386"/>
    </row>
    <row r="7" spans="1:13" s="387" customFormat="1" ht="14.4">
      <c r="A7" s="432" t="s">
        <v>213</v>
      </c>
      <c r="B7" s="293"/>
      <c r="C7" s="293"/>
      <c r="D7" s="293"/>
      <c r="E7" s="293"/>
      <c r="F7" s="293"/>
      <c r="G7" s="293"/>
      <c r="H7" s="293"/>
      <c r="I7" s="384"/>
      <c r="J7" s="385">
        <f t="shared" si="0"/>
        <v>0</v>
      </c>
      <c r="K7" s="391"/>
    </row>
    <row r="8" spans="1:13" s="387" customFormat="1" ht="14.4">
      <c r="A8" s="319" t="s">
        <v>193</v>
      </c>
      <c r="B8" s="293"/>
      <c r="C8" s="293"/>
      <c r="D8" s="293"/>
      <c r="E8" s="293"/>
      <c r="F8" s="293"/>
      <c r="G8" s="293">
        <v>-10</v>
      </c>
      <c r="H8" s="293">
        <v>100</v>
      </c>
      <c r="I8" s="293"/>
      <c r="J8" s="385">
        <f t="shared" si="0"/>
        <v>90</v>
      </c>
      <c r="K8" s="386" t="s">
        <v>237</v>
      </c>
      <c r="M8" s="388"/>
    </row>
    <row r="9" spans="1:13" s="388" customFormat="1" ht="14.4">
      <c r="A9" s="319" t="s">
        <v>194</v>
      </c>
      <c r="B9" s="293"/>
      <c r="C9" s="293"/>
      <c r="D9" s="293"/>
      <c r="E9" s="293"/>
      <c r="F9" s="293"/>
      <c r="G9" s="293"/>
      <c r="H9" s="293"/>
      <c r="I9" s="293">
        <v>-200</v>
      </c>
      <c r="J9" s="385">
        <f t="shared" si="0"/>
        <v>-200</v>
      </c>
      <c r="K9" s="386" t="s">
        <v>239</v>
      </c>
    </row>
    <row r="10" spans="1:13" s="388" customFormat="1" ht="14.4">
      <c r="A10" s="383" t="s">
        <v>195</v>
      </c>
      <c r="B10" s="293"/>
      <c r="C10" s="293"/>
      <c r="D10" s="293"/>
      <c r="E10" s="293"/>
      <c r="F10" s="293"/>
      <c r="G10" s="293">
        <v>-10</v>
      </c>
      <c r="H10" s="293">
        <v>100</v>
      </c>
      <c r="I10" s="384"/>
      <c r="J10" s="385">
        <f t="shared" si="0"/>
        <v>90</v>
      </c>
      <c r="K10" s="386" t="s">
        <v>238</v>
      </c>
    </row>
    <row r="11" spans="1:13" s="388" customFormat="1" ht="14.4">
      <c r="A11" s="319" t="s">
        <v>196</v>
      </c>
      <c r="B11" s="293"/>
      <c r="C11" s="293"/>
      <c r="D11" s="293"/>
      <c r="E11" s="293"/>
      <c r="F11" s="293"/>
      <c r="G11" s="293"/>
      <c r="H11" s="293"/>
      <c r="I11" s="384"/>
      <c r="J11" s="385">
        <f t="shared" si="0"/>
        <v>0</v>
      </c>
      <c r="K11" s="386"/>
    </row>
    <row r="12" spans="1:13" s="388" customFormat="1" ht="14.4">
      <c r="A12" s="319" t="s">
        <v>197</v>
      </c>
      <c r="B12" s="293"/>
      <c r="C12" s="293"/>
      <c r="D12" s="293"/>
      <c r="E12" s="293"/>
      <c r="F12" s="293"/>
      <c r="G12" s="293"/>
      <c r="H12" s="293"/>
      <c r="I12" s="384"/>
      <c r="J12" s="385">
        <f t="shared" si="0"/>
        <v>0</v>
      </c>
      <c r="K12" s="386"/>
    </row>
    <row r="13" spans="1:13" s="388" customFormat="1" ht="14.4">
      <c r="A13" s="319" t="s">
        <v>198</v>
      </c>
      <c r="B13" s="293"/>
      <c r="C13" s="293"/>
      <c r="D13" s="293"/>
      <c r="E13" s="293"/>
      <c r="F13" s="293"/>
      <c r="G13" s="293"/>
      <c r="H13" s="293"/>
      <c r="I13" s="384"/>
      <c r="J13" s="385">
        <f t="shared" si="0"/>
        <v>0</v>
      </c>
      <c r="K13" s="386"/>
    </row>
    <row r="14" spans="1:13" s="388" customFormat="1" ht="14.4">
      <c r="A14" s="429" t="s">
        <v>199</v>
      </c>
      <c r="B14" s="293"/>
      <c r="C14" s="293">
        <v>-80</v>
      </c>
      <c r="D14" s="293"/>
      <c r="E14" s="293"/>
      <c r="F14" s="293"/>
      <c r="G14" s="293"/>
      <c r="H14" s="293"/>
      <c r="I14" s="384"/>
      <c r="J14" s="385">
        <f t="shared" si="0"/>
        <v>-80</v>
      </c>
      <c r="K14" s="434" t="s">
        <v>215</v>
      </c>
    </row>
    <row r="15" spans="1:13" s="389" customFormat="1" ht="28.8">
      <c r="A15" s="435" t="s">
        <v>216</v>
      </c>
      <c r="B15" s="293"/>
      <c r="C15" s="293"/>
      <c r="D15" s="293"/>
      <c r="E15" s="293"/>
      <c r="F15" s="293"/>
      <c r="G15" s="293"/>
      <c r="H15" s="293"/>
      <c r="I15" s="384"/>
      <c r="J15" s="385">
        <f t="shared" si="0"/>
        <v>0</v>
      </c>
      <c r="K15" s="386"/>
    </row>
    <row r="16" spans="1:13" s="388" customFormat="1" ht="14.4">
      <c r="A16" s="429" t="s">
        <v>200</v>
      </c>
      <c r="B16" s="293"/>
      <c r="C16" s="436"/>
      <c r="D16" s="293"/>
      <c r="E16" s="293"/>
      <c r="F16" s="293"/>
      <c r="G16" s="293"/>
      <c r="H16" s="293">
        <v>100</v>
      </c>
      <c r="I16" s="384"/>
      <c r="J16" s="385">
        <f t="shared" si="0"/>
        <v>100</v>
      </c>
      <c r="K16" s="390"/>
    </row>
    <row r="17" spans="1:11" ht="15">
      <c r="A17" s="22"/>
      <c r="B17" s="22"/>
      <c r="C17" s="288"/>
      <c r="D17" s="49"/>
      <c r="E17" s="49"/>
      <c r="F17" s="40"/>
      <c r="G17" s="52"/>
      <c r="H17" s="261"/>
      <c r="I17" s="29"/>
      <c r="J17" s="247"/>
      <c r="K17" s="6"/>
    </row>
    <row r="18" spans="1:11" ht="15">
      <c r="A18" s="22"/>
      <c r="B18" s="22"/>
      <c r="C18" s="288"/>
      <c r="D18" s="49"/>
      <c r="E18" s="49"/>
      <c r="F18" s="40"/>
      <c r="G18" s="246"/>
      <c r="H18" s="261"/>
      <c r="I18" s="29"/>
      <c r="J18" s="247"/>
      <c r="K18" s="6"/>
    </row>
    <row r="19" spans="1:11" ht="15">
      <c r="A19" s="22"/>
      <c r="B19" s="22"/>
      <c r="C19" s="288"/>
      <c r="D19" s="49"/>
      <c r="E19" s="49"/>
      <c r="F19" s="40"/>
      <c r="G19" s="52"/>
      <c r="H19" s="261"/>
      <c r="I19" s="29"/>
      <c r="J19" s="247"/>
      <c r="K19" s="6"/>
    </row>
    <row r="20" spans="1:11" ht="15">
      <c r="A20" s="22"/>
      <c r="B20" s="22"/>
      <c r="C20" s="288"/>
      <c r="D20" s="49"/>
      <c r="E20" s="49"/>
      <c r="F20" s="40"/>
      <c r="G20" s="52"/>
      <c r="H20" s="261"/>
      <c r="I20" s="29"/>
      <c r="J20" s="247"/>
      <c r="K20" s="6"/>
    </row>
    <row r="21" spans="1:11" ht="15">
      <c r="A21" s="22"/>
      <c r="B21" s="22"/>
      <c r="C21" s="288"/>
      <c r="D21" s="49"/>
      <c r="E21" s="49"/>
      <c r="F21" s="40"/>
      <c r="G21" s="52"/>
      <c r="H21" s="261"/>
      <c r="I21" s="29"/>
      <c r="J21" s="247"/>
      <c r="K21" s="6"/>
    </row>
    <row r="22" spans="1:11" ht="15">
      <c r="A22" s="22"/>
      <c r="B22" s="22"/>
      <c r="C22" s="288"/>
      <c r="D22" s="49"/>
      <c r="E22" s="49"/>
      <c r="F22" s="40"/>
      <c r="G22" s="52"/>
      <c r="H22" s="261"/>
      <c r="I22" s="29"/>
      <c r="J22" s="247"/>
      <c r="K22" s="6"/>
    </row>
    <row r="23" spans="1:11" ht="15">
      <c r="A23" s="22"/>
      <c r="B23" s="22"/>
      <c r="C23" s="288"/>
      <c r="D23" s="49"/>
      <c r="E23" s="49"/>
      <c r="F23" s="40"/>
      <c r="G23" s="52"/>
      <c r="H23" s="261"/>
      <c r="I23" s="29"/>
      <c r="J23" s="247"/>
      <c r="K23" s="6"/>
    </row>
    <row r="24" spans="1:11">
      <c r="A24" s="22"/>
      <c r="B24" s="22"/>
      <c r="C24" s="288"/>
      <c r="D24" s="49"/>
      <c r="E24" s="49"/>
      <c r="F24" s="40"/>
      <c r="G24" s="52"/>
      <c r="H24" s="261"/>
      <c r="I24" s="24"/>
      <c r="J24" s="247"/>
      <c r="K24" s="6"/>
    </row>
    <row r="25" spans="1:11" ht="15">
      <c r="A25" s="22"/>
      <c r="B25" s="22"/>
      <c r="C25" s="288"/>
      <c r="D25" s="49"/>
      <c r="E25" s="49"/>
      <c r="F25" s="40"/>
      <c r="G25" s="52"/>
      <c r="H25" s="261"/>
      <c r="I25" s="29"/>
      <c r="J25" s="247"/>
      <c r="K25" s="6"/>
    </row>
    <row r="26" spans="1:11">
      <c r="A26" s="22"/>
      <c r="B26" s="22"/>
      <c r="C26" s="289"/>
      <c r="D26" s="50"/>
      <c r="E26" s="50"/>
      <c r="F26" s="40"/>
      <c r="G26" s="52"/>
      <c r="H26" s="261"/>
      <c r="I26" s="1"/>
    </row>
    <row r="27" spans="1:11">
      <c r="A27" s="1"/>
      <c r="B27" s="1"/>
      <c r="C27" s="60"/>
      <c r="D27" s="1"/>
      <c r="E27" s="1"/>
      <c r="F27" s="24"/>
      <c r="G27" s="1"/>
      <c r="H27" s="264"/>
      <c r="I27" s="1"/>
    </row>
    <row r="28" spans="1:11">
      <c r="A28" s="1"/>
      <c r="B28" s="1"/>
      <c r="C28" s="60"/>
      <c r="D28" s="1"/>
      <c r="E28" s="1"/>
      <c r="F28" s="1"/>
      <c r="G28" s="1"/>
      <c r="H28" s="264"/>
      <c r="I28" s="1"/>
    </row>
    <row r="29" spans="1:11">
      <c r="A29" s="1"/>
      <c r="B29" s="1"/>
      <c r="C29" s="60"/>
      <c r="D29" s="1"/>
      <c r="E29" s="1"/>
      <c r="F29" s="1"/>
      <c r="G29" s="1"/>
      <c r="H29" s="264"/>
      <c r="I29" s="1"/>
    </row>
  </sheetData>
  <phoneticPr fontId="23" type="noConversion"/>
  <printOptions gridLines="1"/>
  <pageMargins left="0.75" right="0.75" top="1" bottom="1" header="0.5" footer="0.5"/>
  <pageSetup scale="62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B4" sqref="B4:D16"/>
    </sheetView>
  </sheetViews>
  <sheetFormatPr defaultColWidth="8.88671875" defaultRowHeight="13.2"/>
  <cols>
    <col min="1" max="1" width="33.4414062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5" t="s">
        <v>212</v>
      </c>
      <c r="B1" s="31"/>
      <c r="C1" s="31"/>
      <c r="D1" s="31"/>
      <c r="E1" s="31" t="s">
        <v>60</v>
      </c>
      <c r="F1" s="32">
        <f>MAX(E4:E16)</f>
        <v>747</v>
      </c>
      <c r="G1" s="31" t="s">
        <v>61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206" t="s">
        <v>127</v>
      </c>
      <c r="B2" s="31"/>
      <c r="C2" s="31"/>
      <c r="D2" s="31"/>
      <c r="E2" s="31" t="s">
        <v>59</v>
      </c>
      <c r="F2" s="32">
        <f>MIN(E4:E115)</f>
        <v>0</v>
      </c>
      <c r="G2" s="31" t="s">
        <v>61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28" t="s">
        <v>56</v>
      </c>
      <c r="C3" s="128" t="s">
        <v>57</v>
      </c>
      <c r="D3" s="128" t="s">
        <v>58</v>
      </c>
      <c r="E3" s="44" t="s">
        <v>25</v>
      </c>
      <c r="G3" s="39"/>
      <c r="H3" s="2" t="s">
        <v>28</v>
      </c>
    </row>
    <row r="4" spans="1:21" ht="14.4">
      <c r="A4" s="319" t="s">
        <v>190</v>
      </c>
      <c r="B4" s="438">
        <v>158</v>
      </c>
      <c r="C4" s="439">
        <v>164</v>
      </c>
      <c r="D4" s="439">
        <v>269</v>
      </c>
      <c r="E4" s="230">
        <f>+B4+C4+D4</f>
        <v>591</v>
      </c>
      <c r="F4" s="143"/>
      <c r="G4" s="17"/>
      <c r="H4" s="17">
        <f t="shared" ref="H4:H16" si="0">RANK($E4,$E$4:$E$16)</f>
        <v>9</v>
      </c>
    </row>
    <row r="5" spans="1:21" ht="14.4">
      <c r="A5" s="319" t="s">
        <v>191</v>
      </c>
      <c r="B5" s="440">
        <v>163</v>
      </c>
      <c r="C5" s="441">
        <v>204</v>
      </c>
      <c r="D5" s="441">
        <v>311</v>
      </c>
      <c r="E5" s="230">
        <f t="shared" ref="E5:E16" si="1">+B5+C5+D5</f>
        <v>678</v>
      </c>
      <c r="F5" s="143"/>
      <c r="G5" s="17"/>
      <c r="H5" s="17">
        <f t="shared" si="0"/>
        <v>2</v>
      </c>
      <c r="I5" s="416"/>
    </row>
    <row r="6" spans="1:21" ht="14.4">
      <c r="A6" s="319" t="s">
        <v>192</v>
      </c>
      <c r="B6" s="440">
        <v>166</v>
      </c>
      <c r="C6" s="441">
        <v>154</v>
      </c>
      <c r="D6" s="441">
        <v>277</v>
      </c>
      <c r="E6" s="230">
        <f t="shared" si="1"/>
        <v>597</v>
      </c>
      <c r="F6" s="143"/>
      <c r="G6" s="17"/>
      <c r="H6" s="17">
        <f t="shared" si="0"/>
        <v>7</v>
      </c>
    </row>
    <row r="7" spans="1:21" s="231" customFormat="1" ht="14.4">
      <c r="A7" s="432" t="s">
        <v>213</v>
      </c>
      <c r="B7" s="440"/>
      <c r="C7" s="441"/>
      <c r="D7" s="441"/>
      <c r="E7" s="230">
        <f t="shared" si="1"/>
        <v>0</v>
      </c>
      <c r="F7" s="206"/>
      <c r="G7" s="226"/>
      <c r="H7" s="17">
        <f t="shared" si="0"/>
        <v>11</v>
      </c>
      <c r="I7" s="416"/>
    </row>
    <row r="8" spans="1:21" s="231" customFormat="1" ht="14.4">
      <c r="A8" s="319" t="s">
        <v>193</v>
      </c>
      <c r="B8" s="440">
        <v>154</v>
      </c>
      <c r="C8" s="441">
        <v>164</v>
      </c>
      <c r="D8" s="441">
        <v>274</v>
      </c>
      <c r="E8" s="230">
        <f t="shared" si="1"/>
        <v>592</v>
      </c>
      <c r="F8" s="206"/>
      <c r="G8" s="226"/>
      <c r="H8" s="17">
        <f t="shared" si="0"/>
        <v>8</v>
      </c>
    </row>
    <row r="9" spans="1:21" s="31" customFormat="1" ht="14.4">
      <c r="A9" s="319" t="s">
        <v>194</v>
      </c>
      <c r="B9" s="440">
        <v>171</v>
      </c>
      <c r="C9" s="441">
        <v>173</v>
      </c>
      <c r="D9" s="441">
        <v>286</v>
      </c>
      <c r="E9" s="230">
        <f t="shared" si="1"/>
        <v>630</v>
      </c>
      <c r="F9" s="187" t="s">
        <v>46</v>
      </c>
      <c r="G9" s="17"/>
      <c r="H9" s="17">
        <f t="shared" si="0"/>
        <v>4</v>
      </c>
    </row>
    <row r="10" spans="1:21" ht="14.4">
      <c r="A10" s="383" t="s">
        <v>195</v>
      </c>
      <c r="B10" s="440">
        <v>159</v>
      </c>
      <c r="C10" s="441">
        <v>156</v>
      </c>
      <c r="D10" s="441">
        <v>341</v>
      </c>
      <c r="E10" s="230">
        <f t="shared" si="1"/>
        <v>656</v>
      </c>
      <c r="F10" s="143"/>
      <c r="G10" s="17"/>
      <c r="H10" s="17">
        <f t="shared" si="0"/>
        <v>3</v>
      </c>
    </row>
    <row r="11" spans="1:21" ht="14.4">
      <c r="A11" s="319" t="s">
        <v>196</v>
      </c>
      <c r="B11" s="440"/>
      <c r="C11" s="441"/>
      <c r="D11" s="441"/>
      <c r="E11" s="230">
        <f t="shared" si="1"/>
        <v>0</v>
      </c>
      <c r="F11" s="143"/>
      <c r="G11" s="17"/>
      <c r="H11" s="17">
        <f t="shared" si="0"/>
        <v>11</v>
      </c>
    </row>
    <row r="12" spans="1:21" ht="14.4">
      <c r="A12" s="319" t="s">
        <v>197</v>
      </c>
      <c r="B12" s="440">
        <v>161</v>
      </c>
      <c r="C12" s="441">
        <v>170</v>
      </c>
      <c r="D12" s="441">
        <v>281</v>
      </c>
      <c r="E12" s="230">
        <f t="shared" si="1"/>
        <v>612</v>
      </c>
      <c r="F12" s="137"/>
      <c r="G12" s="17"/>
      <c r="H12" s="17">
        <f t="shared" si="0"/>
        <v>6</v>
      </c>
    </row>
    <row r="13" spans="1:21" ht="14.4">
      <c r="A13" s="319" t="s">
        <v>198</v>
      </c>
      <c r="B13" s="440">
        <v>192</v>
      </c>
      <c r="C13" s="441">
        <v>191</v>
      </c>
      <c r="D13" s="441">
        <v>364</v>
      </c>
      <c r="E13" s="230">
        <f t="shared" si="1"/>
        <v>747</v>
      </c>
      <c r="F13" s="143" t="s">
        <v>46</v>
      </c>
      <c r="G13" s="17"/>
      <c r="H13" s="17">
        <f t="shared" si="0"/>
        <v>1</v>
      </c>
    </row>
    <row r="14" spans="1:21" ht="14.4">
      <c r="A14" s="429" t="s">
        <v>199</v>
      </c>
      <c r="B14" s="440">
        <v>169</v>
      </c>
      <c r="C14" s="441">
        <v>172</v>
      </c>
      <c r="D14" s="441">
        <v>279</v>
      </c>
      <c r="E14" s="230">
        <f t="shared" si="1"/>
        <v>620</v>
      </c>
      <c r="F14" s="143"/>
      <c r="G14" s="17"/>
      <c r="H14" s="17">
        <f t="shared" si="0"/>
        <v>5</v>
      </c>
    </row>
    <row r="15" spans="1:21" ht="28.8">
      <c r="A15" s="435" t="s">
        <v>216</v>
      </c>
      <c r="B15" s="440"/>
      <c r="C15" s="441"/>
      <c r="D15" s="441"/>
      <c r="E15" s="230">
        <f t="shared" si="1"/>
        <v>0</v>
      </c>
      <c r="F15" s="143"/>
      <c r="G15" s="17"/>
      <c r="H15" s="17">
        <f t="shared" si="0"/>
        <v>11</v>
      </c>
    </row>
    <row r="16" spans="1:21" ht="14.4">
      <c r="A16" s="429" t="s">
        <v>200</v>
      </c>
      <c r="B16" s="440">
        <v>146</v>
      </c>
      <c r="C16" s="441">
        <v>137</v>
      </c>
      <c r="D16" s="441">
        <v>268</v>
      </c>
      <c r="E16" s="230">
        <f t="shared" si="1"/>
        <v>551</v>
      </c>
      <c r="F16" s="143"/>
      <c r="G16" s="17"/>
      <c r="H16" s="17">
        <f t="shared" si="0"/>
        <v>10</v>
      </c>
    </row>
    <row r="17" spans="5:5">
      <c r="E17" s="61"/>
    </row>
    <row r="18" spans="5:5">
      <c r="E18" s="61"/>
    </row>
    <row r="19" spans="5:5">
      <c r="E19" s="61"/>
    </row>
    <row r="20" spans="5:5">
      <c r="E20" s="61"/>
    </row>
    <row r="21" spans="5:5">
      <c r="E21" s="61"/>
    </row>
    <row r="22" spans="5:5">
      <c r="E22" s="61"/>
    </row>
    <row r="23" spans="5:5">
      <c r="E23" s="61"/>
    </row>
    <row r="24" spans="5:5">
      <c r="E24" s="61"/>
    </row>
    <row r="25" spans="5:5">
      <c r="E25" s="61"/>
    </row>
    <row r="26" spans="5:5">
      <c r="E26" s="61"/>
    </row>
    <row r="27" spans="5:5">
      <c r="E27" s="61"/>
    </row>
  </sheetData>
  <phoneticPr fontId="23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71"/>
  <sheetViews>
    <sheetView zoomScale="85" zoomScaleNormal="85" zoomScalePageLayoutView="85" workbookViewId="0">
      <pane ySplit="2" topLeftCell="A39" activePane="bottomLeft" state="frozen"/>
      <selection pane="bottomLeft" activeCell="K75" sqref="K75"/>
    </sheetView>
  </sheetViews>
  <sheetFormatPr defaultColWidth="9.109375" defaultRowHeight="13.2"/>
  <cols>
    <col min="1" max="1" width="14.5546875" style="163" customWidth="1"/>
    <col min="2" max="2" width="2.77734375" style="65" customWidth="1"/>
    <col min="3" max="5" width="10.6640625" style="163" customWidth="1"/>
    <col min="6" max="6" width="10.6640625" style="260" customWidth="1"/>
    <col min="7" max="7" width="10.6640625" style="164" customWidth="1"/>
    <col min="8" max="8" width="10.6640625" style="229" customWidth="1"/>
    <col min="9" max="10" width="10.6640625" style="163" customWidth="1"/>
    <col min="11" max="11" width="10.6640625" style="188" customWidth="1"/>
    <col min="12" max="12" width="10.6640625" style="163" customWidth="1"/>
    <col min="13" max="13" width="10.6640625" style="181" customWidth="1"/>
    <col min="14" max="14" width="11.5546875" style="181" customWidth="1"/>
    <col min="15" max="15" width="10.6640625" style="181" customWidth="1"/>
    <col min="16" max="16" width="7.44140625" style="180" customWidth="1"/>
    <col min="17" max="17" width="3" style="180" customWidth="1"/>
    <col min="18" max="18" width="2.6640625" style="65" customWidth="1"/>
    <col min="19" max="16384" width="9.109375" style="65"/>
  </cols>
  <sheetData>
    <row r="1" spans="1:19" s="514" customFormat="1" ht="17.399999999999999">
      <c r="A1" s="334" t="s">
        <v>202</v>
      </c>
      <c r="F1" s="515"/>
      <c r="G1" s="516"/>
      <c r="H1" s="517"/>
      <c r="K1" s="518"/>
      <c r="M1" s="519"/>
      <c r="N1" s="519"/>
      <c r="O1" s="519"/>
    </row>
    <row r="2" spans="1:19" ht="72">
      <c r="A2" s="312" t="s">
        <v>243</v>
      </c>
      <c r="B2" s="312"/>
      <c r="C2" s="313" t="s">
        <v>190</v>
      </c>
      <c r="D2" s="313" t="s">
        <v>191</v>
      </c>
      <c r="E2" s="313" t="s">
        <v>192</v>
      </c>
      <c r="F2" s="433" t="s">
        <v>214</v>
      </c>
      <c r="G2" s="313" t="s">
        <v>193</v>
      </c>
      <c r="H2" s="313" t="s">
        <v>194</v>
      </c>
      <c r="I2" s="430" t="s">
        <v>195</v>
      </c>
      <c r="J2" s="313" t="s">
        <v>196</v>
      </c>
      <c r="K2" s="313" t="s">
        <v>197</v>
      </c>
      <c r="L2" s="313" t="s">
        <v>198</v>
      </c>
      <c r="M2" s="431" t="s">
        <v>199</v>
      </c>
      <c r="N2" s="437" t="s">
        <v>216</v>
      </c>
      <c r="O2" s="431" t="s">
        <v>200</v>
      </c>
      <c r="P2" s="243"/>
      <c r="Q2" s="243"/>
      <c r="R2" s="167"/>
      <c r="S2" s="167"/>
    </row>
    <row r="3" spans="1:19" s="347" customFormat="1">
      <c r="A3" s="513">
        <v>1</v>
      </c>
      <c r="B3" s="348"/>
      <c r="C3" s="349"/>
      <c r="D3" s="349"/>
      <c r="E3" s="349"/>
      <c r="F3" s="349"/>
      <c r="G3" s="349"/>
      <c r="H3" s="349"/>
      <c r="I3" s="349"/>
      <c r="J3" s="349"/>
      <c r="K3" s="349">
        <v>80</v>
      </c>
      <c r="L3" s="349">
        <v>64</v>
      </c>
      <c r="M3" s="398">
        <v>75</v>
      </c>
      <c r="N3" s="349"/>
      <c r="O3" s="349"/>
      <c r="P3" s="346">
        <f t="shared" ref="P3:P34" si="0">COUNTA(C3:O3)</f>
        <v>3</v>
      </c>
      <c r="Q3" s="346"/>
    </row>
    <row r="4" spans="1:19">
      <c r="A4" s="513">
        <f>A3+1</f>
        <v>2</v>
      </c>
      <c r="B4" s="349"/>
      <c r="C4" s="349"/>
      <c r="D4" s="349"/>
      <c r="E4" s="349">
        <v>92</v>
      </c>
      <c r="F4" s="349">
        <v>52</v>
      </c>
      <c r="G4" s="349">
        <v>78</v>
      </c>
      <c r="H4" s="349">
        <v>76</v>
      </c>
      <c r="I4" s="349"/>
      <c r="J4" s="349"/>
      <c r="K4" s="349"/>
      <c r="L4" s="349"/>
      <c r="M4" s="398"/>
      <c r="N4" s="349"/>
      <c r="O4" s="349"/>
      <c r="P4" s="346">
        <f t="shared" si="0"/>
        <v>4</v>
      </c>
      <c r="Q4" s="243"/>
      <c r="R4" s="167"/>
      <c r="S4" s="167"/>
    </row>
    <row r="5" spans="1:19">
      <c r="A5" s="513">
        <f t="shared" ref="A5:A62" si="1">A4+1</f>
        <v>3</v>
      </c>
      <c r="B5" s="349"/>
      <c r="C5" s="349">
        <v>88</v>
      </c>
      <c r="D5" s="349">
        <v>84</v>
      </c>
      <c r="E5" s="349">
        <v>90</v>
      </c>
      <c r="F5" s="349"/>
      <c r="G5" s="349">
        <v>81</v>
      </c>
      <c r="H5" s="349"/>
      <c r="I5" s="349"/>
      <c r="J5" s="349"/>
      <c r="K5" s="349"/>
      <c r="L5" s="349"/>
      <c r="M5" s="349"/>
      <c r="N5" s="349"/>
      <c r="O5" s="349"/>
      <c r="P5" s="346">
        <f t="shared" si="0"/>
        <v>4</v>
      </c>
    </row>
    <row r="6" spans="1:19">
      <c r="A6" s="513">
        <f t="shared" si="1"/>
        <v>4</v>
      </c>
      <c r="B6" s="349"/>
      <c r="C6" s="349"/>
      <c r="D6" s="349"/>
      <c r="E6" s="349"/>
      <c r="F6" s="349">
        <v>78</v>
      </c>
      <c r="G6" s="349">
        <v>90</v>
      </c>
      <c r="H6" s="349">
        <v>94</v>
      </c>
      <c r="I6" s="349">
        <v>95</v>
      </c>
      <c r="J6" s="349"/>
      <c r="K6" s="349"/>
      <c r="L6" s="349"/>
      <c r="M6" s="349"/>
      <c r="N6" s="349"/>
      <c r="O6" s="349"/>
      <c r="P6" s="346">
        <f t="shared" si="0"/>
        <v>4</v>
      </c>
      <c r="Q6" s="315"/>
      <c r="R6" s="314"/>
      <c r="S6" s="314"/>
    </row>
    <row r="7" spans="1:19">
      <c r="A7" s="513">
        <f t="shared" si="1"/>
        <v>5</v>
      </c>
      <c r="B7" s="349"/>
      <c r="C7" s="349"/>
      <c r="D7" s="349"/>
      <c r="E7" s="349"/>
      <c r="F7" s="349"/>
      <c r="G7" s="349"/>
      <c r="H7" s="349"/>
      <c r="I7" s="349">
        <v>98</v>
      </c>
      <c r="J7" s="349">
        <v>84</v>
      </c>
      <c r="K7" s="349">
        <v>90</v>
      </c>
      <c r="L7" s="349">
        <v>79</v>
      </c>
      <c r="M7" s="349"/>
      <c r="N7" s="349"/>
      <c r="O7" s="349"/>
      <c r="P7" s="346">
        <f t="shared" si="0"/>
        <v>4</v>
      </c>
      <c r="Q7" s="243"/>
      <c r="R7" s="167"/>
      <c r="S7" s="206"/>
    </row>
    <row r="8" spans="1:19" s="167" customFormat="1">
      <c r="A8" s="513">
        <f t="shared" si="1"/>
        <v>6</v>
      </c>
      <c r="B8" s="349"/>
      <c r="C8" s="349">
        <v>100</v>
      </c>
      <c r="D8" s="349">
        <v>63</v>
      </c>
      <c r="E8" s="349">
        <v>96</v>
      </c>
      <c r="F8" s="349"/>
      <c r="G8" s="349"/>
      <c r="H8" s="349">
        <v>88</v>
      </c>
      <c r="I8" s="349"/>
      <c r="J8" s="349"/>
      <c r="K8" s="349"/>
      <c r="L8" s="349"/>
      <c r="M8" s="349"/>
      <c r="N8" s="349"/>
      <c r="O8" s="349"/>
      <c r="P8" s="346">
        <f t="shared" si="0"/>
        <v>4</v>
      </c>
      <c r="Q8" s="243"/>
    </row>
    <row r="9" spans="1:19">
      <c r="A9" s="513">
        <f t="shared" si="1"/>
        <v>7</v>
      </c>
      <c r="B9" s="349"/>
      <c r="C9" s="349"/>
      <c r="D9" s="349">
        <v>81</v>
      </c>
      <c r="E9" s="349">
        <v>83</v>
      </c>
      <c r="F9" s="349">
        <v>52</v>
      </c>
      <c r="G9" s="349">
        <v>62</v>
      </c>
      <c r="H9" s="349"/>
      <c r="I9" s="349"/>
      <c r="J9" s="349"/>
      <c r="K9" s="349"/>
      <c r="L9" s="349"/>
      <c r="M9" s="349"/>
      <c r="N9" s="349"/>
      <c r="O9" s="349"/>
      <c r="P9" s="346">
        <f t="shared" si="0"/>
        <v>4</v>
      </c>
      <c r="Q9" s="243"/>
      <c r="R9" s="167"/>
      <c r="S9" s="167"/>
    </row>
    <row r="10" spans="1:19">
      <c r="A10" s="513">
        <f t="shared" si="1"/>
        <v>8</v>
      </c>
      <c r="B10" s="349"/>
      <c r="C10" s="349">
        <v>89</v>
      </c>
      <c r="D10" s="349"/>
      <c r="E10" s="349"/>
      <c r="F10" s="349"/>
      <c r="G10" s="349"/>
      <c r="H10" s="349"/>
      <c r="I10" s="349"/>
      <c r="J10" s="349"/>
      <c r="K10" s="349"/>
      <c r="L10" s="349"/>
      <c r="M10" s="349">
        <v>62</v>
      </c>
      <c r="N10" s="349"/>
      <c r="O10" s="349">
        <v>83</v>
      </c>
      <c r="P10" s="346">
        <f t="shared" si="0"/>
        <v>3</v>
      </c>
      <c r="Q10" s="243"/>
      <c r="R10" s="314"/>
      <c r="S10" s="314"/>
    </row>
    <row r="11" spans="1:19">
      <c r="A11" s="513">
        <f t="shared" si="1"/>
        <v>9</v>
      </c>
      <c r="B11" s="349"/>
      <c r="C11" s="349">
        <v>92.2</v>
      </c>
      <c r="D11" s="349">
        <v>37.75</v>
      </c>
      <c r="E11" s="349">
        <v>69.5</v>
      </c>
      <c r="F11" s="349">
        <v>32.25</v>
      </c>
      <c r="G11" s="349">
        <v>79.75</v>
      </c>
      <c r="H11" s="349">
        <v>65.5</v>
      </c>
      <c r="I11" s="349">
        <v>86</v>
      </c>
      <c r="J11" s="349">
        <v>32.25</v>
      </c>
      <c r="K11" s="349">
        <v>38.75</v>
      </c>
      <c r="L11" s="349">
        <v>37.75</v>
      </c>
      <c r="M11" s="349">
        <v>58.5</v>
      </c>
      <c r="N11" s="349"/>
      <c r="O11" s="349">
        <v>64.75</v>
      </c>
      <c r="P11" s="346">
        <f t="shared" si="0"/>
        <v>12</v>
      </c>
      <c r="Q11" s="243"/>
      <c r="R11" s="167"/>
      <c r="S11" s="167"/>
    </row>
    <row r="12" spans="1:19">
      <c r="A12" s="513">
        <f t="shared" si="1"/>
        <v>10</v>
      </c>
      <c r="B12" s="350"/>
      <c r="C12" s="349"/>
      <c r="D12" s="349"/>
      <c r="E12" s="349">
        <v>96</v>
      </c>
      <c r="F12" s="349">
        <v>67</v>
      </c>
      <c r="G12" s="349">
        <v>85</v>
      </c>
      <c r="H12" s="349">
        <v>79</v>
      </c>
      <c r="I12" s="349"/>
      <c r="J12" s="349"/>
      <c r="K12" s="349"/>
      <c r="L12" s="349"/>
      <c r="M12" s="349"/>
      <c r="N12" s="349"/>
      <c r="O12" s="349"/>
      <c r="P12" s="346">
        <f t="shared" si="0"/>
        <v>4</v>
      </c>
      <c r="Q12" s="243"/>
      <c r="R12" s="314"/>
      <c r="S12" s="314"/>
    </row>
    <row r="13" spans="1:19">
      <c r="A13" s="513">
        <f t="shared" si="1"/>
        <v>11</v>
      </c>
      <c r="B13" s="350"/>
      <c r="C13" s="349"/>
      <c r="D13" s="349"/>
      <c r="E13" s="349"/>
      <c r="F13" s="349">
        <v>31</v>
      </c>
      <c r="G13" s="349">
        <v>68</v>
      </c>
      <c r="H13" s="349">
        <v>76</v>
      </c>
      <c r="I13" s="349">
        <v>86</v>
      </c>
      <c r="J13" s="349"/>
      <c r="K13" s="349"/>
      <c r="L13" s="349"/>
      <c r="M13" s="349"/>
      <c r="N13" s="349"/>
      <c r="O13" s="349"/>
      <c r="P13" s="346">
        <f t="shared" si="0"/>
        <v>4</v>
      </c>
      <c r="Q13" s="243"/>
      <c r="R13" s="314"/>
      <c r="S13" s="314"/>
    </row>
    <row r="14" spans="1:19">
      <c r="A14" s="513">
        <f t="shared" si="1"/>
        <v>12</v>
      </c>
      <c r="B14" s="350"/>
      <c r="C14" s="349"/>
      <c r="D14" s="349"/>
      <c r="E14" s="349"/>
      <c r="F14" s="349"/>
      <c r="G14" s="349">
        <v>55</v>
      </c>
      <c r="H14" s="349">
        <v>47</v>
      </c>
      <c r="I14" s="349">
        <v>76</v>
      </c>
      <c r="J14" s="349">
        <v>11</v>
      </c>
      <c r="K14" s="349">
        <v>51</v>
      </c>
      <c r="L14" s="349">
        <v>27</v>
      </c>
      <c r="M14" s="349">
        <v>37</v>
      </c>
      <c r="N14" s="349"/>
      <c r="O14" s="349">
        <v>73</v>
      </c>
      <c r="P14" s="346">
        <f t="shared" si="0"/>
        <v>8</v>
      </c>
      <c r="Q14" s="243"/>
      <c r="R14" s="167"/>
      <c r="S14" s="167"/>
    </row>
    <row r="15" spans="1:19">
      <c r="A15" s="513">
        <f t="shared" si="1"/>
        <v>13</v>
      </c>
      <c r="B15" s="350"/>
      <c r="C15" s="349"/>
      <c r="D15" s="349"/>
      <c r="E15" s="349"/>
      <c r="F15" s="349"/>
      <c r="G15" s="349"/>
      <c r="H15" s="349">
        <v>92</v>
      </c>
      <c r="I15" s="349">
        <v>80</v>
      </c>
      <c r="J15" s="349">
        <v>78</v>
      </c>
      <c r="K15" s="349">
        <v>83</v>
      </c>
      <c r="L15" s="349"/>
      <c r="M15" s="349"/>
      <c r="N15" s="349"/>
      <c r="O15" s="349"/>
      <c r="P15" s="346">
        <f t="shared" si="0"/>
        <v>4</v>
      </c>
      <c r="Q15" s="243"/>
      <c r="R15" s="167"/>
      <c r="S15" s="167"/>
    </row>
    <row r="16" spans="1:19">
      <c r="A16" s="513">
        <f t="shared" si="1"/>
        <v>14</v>
      </c>
      <c r="B16" s="350"/>
      <c r="C16" s="349">
        <v>95</v>
      </c>
      <c r="D16" s="349">
        <v>75</v>
      </c>
      <c r="E16" s="349">
        <v>79</v>
      </c>
      <c r="F16" s="349"/>
      <c r="G16" s="349"/>
      <c r="H16" s="349"/>
      <c r="I16" s="349"/>
      <c r="J16" s="349"/>
      <c r="K16" s="349"/>
      <c r="L16" s="349"/>
      <c r="M16" s="349"/>
      <c r="N16" s="349"/>
      <c r="O16" s="349">
        <v>84</v>
      </c>
      <c r="P16" s="346">
        <f t="shared" si="0"/>
        <v>4</v>
      </c>
      <c r="Q16" s="243"/>
      <c r="R16" s="167"/>
      <c r="S16" s="167"/>
    </row>
    <row r="17" spans="1:20">
      <c r="A17" s="513">
        <f t="shared" si="1"/>
        <v>15</v>
      </c>
      <c r="B17" s="350"/>
      <c r="C17" s="349">
        <v>88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>
        <v>70</v>
      </c>
      <c r="N17" s="349"/>
      <c r="O17" s="349">
        <v>74</v>
      </c>
      <c r="P17" s="346">
        <f t="shared" si="0"/>
        <v>3</v>
      </c>
      <c r="Q17" s="243"/>
      <c r="R17" s="167"/>
      <c r="S17" s="167"/>
    </row>
    <row r="18" spans="1:20">
      <c r="A18" s="513">
        <f t="shared" si="1"/>
        <v>16</v>
      </c>
      <c r="B18" s="350"/>
      <c r="C18" s="349"/>
      <c r="D18" s="349"/>
      <c r="E18" s="349"/>
      <c r="F18" s="349"/>
      <c r="G18" s="349">
        <v>62</v>
      </c>
      <c r="H18" s="349">
        <v>76</v>
      </c>
      <c r="I18" s="349">
        <v>92</v>
      </c>
      <c r="J18" s="349">
        <v>27</v>
      </c>
      <c r="K18" s="349"/>
      <c r="L18" s="349"/>
      <c r="M18" s="349"/>
      <c r="N18" s="349"/>
      <c r="O18" s="349"/>
      <c r="P18" s="346">
        <f t="shared" si="0"/>
        <v>4</v>
      </c>
      <c r="Q18" s="243"/>
      <c r="R18" s="167"/>
      <c r="S18" s="167"/>
    </row>
    <row r="19" spans="1:20">
      <c r="A19" s="513">
        <f t="shared" si="1"/>
        <v>17</v>
      </c>
      <c r="B19" s="349"/>
      <c r="C19" s="348">
        <v>70</v>
      </c>
      <c r="D19" s="348">
        <v>23</v>
      </c>
      <c r="E19" s="348">
        <v>87</v>
      </c>
      <c r="F19" s="348">
        <v>20</v>
      </c>
      <c r="G19" s="348">
        <v>84</v>
      </c>
      <c r="H19" s="349">
        <v>40</v>
      </c>
      <c r="I19" s="349">
        <v>69</v>
      </c>
      <c r="J19" s="349">
        <v>38</v>
      </c>
      <c r="K19" s="349">
        <v>24</v>
      </c>
      <c r="L19" s="349">
        <v>29</v>
      </c>
      <c r="M19" s="349">
        <v>44</v>
      </c>
      <c r="N19" s="349"/>
      <c r="O19" s="349">
        <v>67</v>
      </c>
      <c r="P19" s="346">
        <f t="shared" si="0"/>
        <v>12</v>
      </c>
      <c r="Q19" s="243"/>
      <c r="R19" s="167"/>
      <c r="S19" s="167"/>
    </row>
    <row r="20" spans="1:20">
      <c r="A20" s="513">
        <f t="shared" si="1"/>
        <v>18</v>
      </c>
      <c r="B20" s="349"/>
      <c r="C20" s="351"/>
      <c r="D20" s="351"/>
      <c r="E20" s="351"/>
      <c r="F20" s="348"/>
      <c r="G20" s="348"/>
      <c r="H20" s="349"/>
      <c r="I20" s="349"/>
      <c r="J20" s="349"/>
      <c r="K20" s="349">
        <v>100</v>
      </c>
      <c r="L20" s="349">
        <v>69</v>
      </c>
      <c r="M20" s="349">
        <v>75</v>
      </c>
      <c r="N20" s="349"/>
      <c r="O20" s="349"/>
      <c r="P20" s="346">
        <f t="shared" si="0"/>
        <v>3</v>
      </c>
      <c r="Q20" s="243"/>
      <c r="R20" s="167"/>
      <c r="S20" s="167"/>
    </row>
    <row r="21" spans="1:20">
      <c r="A21" s="513">
        <f t="shared" si="1"/>
        <v>19</v>
      </c>
      <c r="B21" s="349"/>
      <c r="C21" s="351"/>
      <c r="D21" s="351"/>
      <c r="E21" s="351"/>
      <c r="F21" s="348"/>
      <c r="G21" s="348"/>
      <c r="H21" s="349">
        <v>85</v>
      </c>
      <c r="I21" s="349">
        <v>94</v>
      </c>
      <c r="J21" s="349">
        <v>48</v>
      </c>
      <c r="K21" s="349">
        <v>80</v>
      </c>
      <c r="L21" s="349"/>
      <c r="M21" s="349"/>
      <c r="N21" s="349"/>
      <c r="O21" s="349"/>
      <c r="P21" s="346">
        <f t="shared" si="0"/>
        <v>4</v>
      </c>
      <c r="Q21" s="243"/>
      <c r="R21" s="314"/>
      <c r="S21" s="314"/>
    </row>
    <row r="22" spans="1:20">
      <c r="A22" s="513">
        <f t="shared" si="1"/>
        <v>20</v>
      </c>
      <c r="B22" s="349"/>
      <c r="C22" s="351"/>
      <c r="D22" s="351"/>
      <c r="E22" s="351"/>
      <c r="F22" s="351"/>
      <c r="G22" s="351"/>
      <c r="H22" s="349"/>
      <c r="I22" s="349">
        <v>93</v>
      </c>
      <c r="J22" s="349">
        <v>54</v>
      </c>
      <c r="K22" s="349">
        <v>68</v>
      </c>
      <c r="L22" s="349">
        <v>63</v>
      </c>
      <c r="M22" s="349"/>
      <c r="N22" s="349"/>
      <c r="O22" s="349"/>
      <c r="P22" s="346">
        <f t="shared" si="0"/>
        <v>4</v>
      </c>
      <c r="Q22" s="243"/>
      <c r="R22" s="314"/>
      <c r="S22" s="314"/>
    </row>
    <row r="23" spans="1:20">
      <c r="A23" s="513">
        <f t="shared" si="1"/>
        <v>21</v>
      </c>
      <c r="B23" s="350"/>
      <c r="C23" s="349"/>
      <c r="D23" s="349"/>
      <c r="E23" s="349">
        <v>95</v>
      </c>
      <c r="F23" s="349">
        <v>63</v>
      </c>
      <c r="G23" s="349">
        <v>80</v>
      </c>
      <c r="H23" s="349">
        <v>84</v>
      </c>
      <c r="I23" s="349"/>
      <c r="J23" s="349"/>
      <c r="K23" s="349"/>
      <c r="L23" s="349"/>
      <c r="M23" s="349"/>
      <c r="N23" s="349"/>
      <c r="O23" s="349"/>
      <c r="P23" s="346">
        <f t="shared" si="0"/>
        <v>4</v>
      </c>
    </row>
    <row r="24" spans="1:20">
      <c r="A24" s="513">
        <f t="shared" si="1"/>
        <v>22</v>
      </c>
      <c r="B24" s="349"/>
      <c r="C24" s="349">
        <v>80</v>
      </c>
      <c r="D24" s="349"/>
      <c r="E24" s="349"/>
      <c r="F24" s="349"/>
      <c r="G24" s="349"/>
      <c r="H24" s="349"/>
      <c r="I24" s="349"/>
      <c r="J24" s="349"/>
      <c r="K24" s="349"/>
      <c r="L24" s="349"/>
      <c r="M24" s="349">
        <v>40</v>
      </c>
      <c r="N24" s="349"/>
      <c r="O24" s="349">
        <v>58</v>
      </c>
      <c r="P24" s="346">
        <f t="shared" si="0"/>
        <v>3</v>
      </c>
      <c r="Q24" s="243"/>
      <c r="R24" s="314"/>
      <c r="S24" s="314"/>
    </row>
    <row r="25" spans="1:20">
      <c r="A25" s="513">
        <f t="shared" si="1"/>
        <v>23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>
        <v>57</v>
      </c>
      <c r="M25" s="349">
        <v>84</v>
      </c>
      <c r="N25" s="349"/>
      <c r="O25" s="349">
        <v>92</v>
      </c>
      <c r="P25" s="346">
        <f t="shared" si="0"/>
        <v>3</v>
      </c>
    </row>
    <row r="26" spans="1:20">
      <c r="A26" s="513">
        <f t="shared" si="1"/>
        <v>24</v>
      </c>
      <c r="B26" s="350"/>
      <c r="C26" s="349"/>
      <c r="D26" s="349"/>
      <c r="E26" s="349"/>
      <c r="F26" s="349"/>
      <c r="G26" s="349">
        <v>66</v>
      </c>
      <c r="H26" s="349">
        <v>64</v>
      </c>
      <c r="I26" s="349"/>
      <c r="J26" s="349">
        <v>50</v>
      </c>
      <c r="K26" s="349"/>
      <c r="L26" s="349"/>
      <c r="M26" s="349">
        <v>57</v>
      </c>
      <c r="N26" s="349"/>
      <c r="O26" s="349"/>
      <c r="P26" s="346">
        <f t="shared" si="0"/>
        <v>4</v>
      </c>
      <c r="Q26" s="243"/>
      <c r="R26" s="167"/>
      <c r="S26" s="167"/>
    </row>
    <row r="27" spans="1:20">
      <c r="A27" s="513">
        <f t="shared" si="1"/>
        <v>25</v>
      </c>
      <c r="B27" s="350"/>
      <c r="C27" s="349"/>
      <c r="D27" s="349">
        <v>81</v>
      </c>
      <c r="E27" s="349">
        <v>75</v>
      </c>
      <c r="F27" s="349"/>
      <c r="G27" s="349"/>
      <c r="H27" s="349">
        <v>72</v>
      </c>
      <c r="I27" s="349"/>
      <c r="J27" s="349"/>
      <c r="K27" s="349"/>
      <c r="L27" s="349"/>
      <c r="M27" s="349">
        <v>62</v>
      </c>
      <c r="N27" s="349"/>
      <c r="O27" s="349"/>
      <c r="P27" s="346">
        <f t="shared" si="0"/>
        <v>4</v>
      </c>
      <c r="Q27" s="243"/>
      <c r="R27" s="167"/>
      <c r="S27" s="167"/>
    </row>
    <row r="28" spans="1:20">
      <c r="A28" s="513">
        <f t="shared" si="1"/>
        <v>26</v>
      </c>
      <c r="B28" s="349"/>
      <c r="C28" s="349"/>
      <c r="D28" s="349"/>
      <c r="E28" s="349"/>
      <c r="F28" s="349"/>
      <c r="G28" s="349"/>
      <c r="H28" s="349"/>
      <c r="I28" s="349"/>
      <c r="J28" s="349">
        <v>58</v>
      </c>
      <c r="K28" s="349">
        <v>63</v>
      </c>
      <c r="L28" s="349">
        <v>34</v>
      </c>
      <c r="M28" s="349">
        <v>46</v>
      </c>
      <c r="N28" s="349"/>
      <c r="O28" s="349"/>
      <c r="P28" s="346">
        <f t="shared" si="0"/>
        <v>4</v>
      </c>
      <c r="Q28" s="243"/>
      <c r="R28" s="167"/>
      <c r="S28" s="167"/>
    </row>
    <row r="29" spans="1:20">
      <c r="A29" s="513">
        <f t="shared" si="1"/>
        <v>27</v>
      </c>
      <c r="B29" s="349"/>
      <c r="C29" s="349"/>
      <c r="D29" s="349"/>
      <c r="E29" s="349"/>
      <c r="F29" s="349"/>
      <c r="G29" s="349">
        <v>74</v>
      </c>
      <c r="H29" s="349">
        <v>84</v>
      </c>
      <c r="I29" s="349">
        <v>83</v>
      </c>
      <c r="J29" s="349">
        <v>57</v>
      </c>
      <c r="K29" s="349"/>
      <c r="L29" s="349"/>
      <c r="M29" s="349"/>
      <c r="N29" s="349"/>
      <c r="O29" s="349"/>
      <c r="P29" s="346">
        <f t="shared" si="0"/>
        <v>4</v>
      </c>
    </row>
    <row r="30" spans="1:20">
      <c r="A30" s="513">
        <f t="shared" si="1"/>
        <v>28</v>
      </c>
      <c r="B30" s="349"/>
      <c r="C30" s="349"/>
      <c r="D30" s="349"/>
      <c r="E30" s="349">
        <v>76</v>
      </c>
      <c r="F30" s="349">
        <v>47</v>
      </c>
      <c r="G30" s="349">
        <v>80</v>
      </c>
      <c r="H30" s="349">
        <v>77</v>
      </c>
      <c r="I30" s="349"/>
      <c r="J30" s="349"/>
      <c r="K30" s="349"/>
      <c r="L30" s="349"/>
      <c r="M30" s="349"/>
      <c r="N30" s="349"/>
      <c r="O30" s="349"/>
      <c r="P30" s="346">
        <f t="shared" si="0"/>
        <v>4</v>
      </c>
      <c r="Q30" s="243"/>
      <c r="R30" s="167"/>
      <c r="S30" s="167"/>
    </row>
    <row r="31" spans="1:20">
      <c r="A31" s="513">
        <f t="shared" si="1"/>
        <v>29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>
        <v>63</v>
      </c>
      <c r="L31" s="349">
        <v>42</v>
      </c>
      <c r="M31" s="349">
        <v>65</v>
      </c>
      <c r="N31" s="349"/>
      <c r="O31" s="349">
        <v>81</v>
      </c>
      <c r="P31" s="346">
        <f t="shared" si="0"/>
        <v>4</v>
      </c>
      <c r="Q31" s="243"/>
      <c r="R31" s="167"/>
      <c r="S31" s="167"/>
      <c r="T31" s="258"/>
    </row>
    <row r="32" spans="1:20">
      <c r="A32" s="513">
        <f t="shared" si="1"/>
        <v>30</v>
      </c>
      <c r="B32" s="349"/>
      <c r="C32" s="349"/>
      <c r="D32" s="349"/>
      <c r="E32" s="349"/>
      <c r="F32" s="349"/>
      <c r="G32" s="349"/>
      <c r="H32" s="349">
        <v>57</v>
      </c>
      <c r="I32" s="349">
        <v>73</v>
      </c>
      <c r="J32" s="349">
        <v>60</v>
      </c>
      <c r="K32" s="349">
        <v>70</v>
      </c>
      <c r="L32" s="349"/>
      <c r="M32" s="349"/>
      <c r="N32" s="349"/>
      <c r="O32" s="349"/>
      <c r="P32" s="346">
        <f t="shared" si="0"/>
        <v>4</v>
      </c>
      <c r="Q32" s="243"/>
      <c r="R32" s="314"/>
      <c r="S32" s="314"/>
      <c r="T32" s="258"/>
    </row>
    <row r="33" spans="1:17">
      <c r="A33" s="513">
        <f t="shared" si="1"/>
        <v>31</v>
      </c>
      <c r="B33" s="350"/>
      <c r="C33" s="349"/>
      <c r="D33" s="349"/>
      <c r="E33" s="349"/>
      <c r="F33" s="349"/>
      <c r="G33" s="349"/>
      <c r="H33" s="349"/>
      <c r="I33" s="349"/>
      <c r="J33" s="349">
        <v>44</v>
      </c>
      <c r="K33" s="349">
        <v>46</v>
      </c>
      <c r="L33" s="349">
        <v>42</v>
      </c>
      <c r="M33" s="349">
        <v>64</v>
      </c>
      <c r="N33" s="349"/>
      <c r="O33" s="349"/>
      <c r="P33" s="346">
        <f t="shared" si="0"/>
        <v>4</v>
      </c>
    </row>
    <row r="34" spans="1:17">
      <c r="A34" s="513">
        <f t="shared" si="1"/>
        <v>32</v>
      </c>
      <c r="B34" s="349"/>
      <c r="C34" s="349"/>
      <c r="D34" s="349"/>
      <c r="E34" s="349"/>
      <c r="F34" s="349">
        <v>27.5</v>
      </c>
      <c r="G34" s="349">
        <v>57.5</v>
      </c>
      <c r="H34" s="349">
        <v>47.5</v>
      </c>
      <c r="I34" s="349">
        <v>60</v>
      </c>
      <c r="J34" s="349"/>
      <c r="K34" s="349"/>
      <c r="L34" s="349"/>
      <c r="M34" s="349"/>
      <c r="N34" s="349"/>
      <c r="O34" s="349"/>
      <c r="P34" s="346">
        <f t="shared" si="0"/>
        <v>4</v>
      </c>
    </row>
    <row r="35" spans="1:17">
      <c r="A35" s="513">
        <f t="shared" si="1"/>
        <v>33</v>
      </c>
      <c r="B35" s="350"/>
      <c r="C35" s="349">
        <v>92</v>
      </c>
      <c r="D35" s="349">
        <v>80</v>
      </c>
      <c r="E35" s="349">
        <v>92</v>
      </c>
      <c r="F35" s="349">
        <v>40</v>
      </c>
      <c r="G35" s="349"/>
      <c r="H35" s="349"/>
      <c r="I35" s="349"/>
      <c r="J35" s="349"/>
      <c r="K35" s="349"/>
      <c r="L35" s="349"/>
      <c r="M35" s="349"/>
      <c r="N35" s="349"/>
      <c r="O35" s="349"/>
      <c r="P35" s="346">
        <f t="shared" ref="P35:P58" si="2">COUNTA(C35:O35)</f>
        <v>4</v>
      </c>
    </row>
    <row r="36" spans="1:17">
      <c r="A36" s="513">
        <f t="shared" si="1"/>
        <v>34</v>
      </c>
      <c r="B36" s="350"/>
      <c r="C36" s="349">
        <v>91</v>
      </c>
      <c r="D36" s="349"/>
      <c r="E36" s="349"/>
      <c r="F36" s="349"/>
      <c r="G36" s="349"/>
      <c r="H36" s="349"/>
      <c r="I36" s="349"/>
      <c r="J36" s="349"/>
      <c r="K36" s="349"/>
      <c r="L36" s="349">
        <v>59</v>
      </c>
      <c r="M36" s="349">
        <v>82</v>
      </c>
      <c r="N36" s="349"/>
      <c r="O36" s="349">
        <v>88</v>
      </c>
      <c r="P36" s="346">
        <f t="shared" si="2"/>
        <v>4</v>
      </c>
    </row>
    <row r="37" spans="1:17">
      <c r="A37" s="513">
        <f t="shared" si="1"/>
        <v>35</v>
      </c>
      <c r="B37" s="350"/>
      <c r="C37" s="349"/>
      <c r="D37" s="349"/>
      <c r="E37" s="349"/>
      <c r="F37" s="349"/>
      <c r="G37" s="349"/>
      <c r="H37" s="349">
        <v>81</v>
      </c>
      <c r="I37" s="349">
        <v>90</v>
      </c>
      <c r="J37" s="349">
        <v>73</v>
      </c>
      <c r="K37" s="349">
        <v>59</v>
      </c>
      <c r="L37" s="349">
        <v>57</v>
      </c>
      <c r="M37" s="349">
        <v>73</v>
      </c>
      <c r="N37" s="349"/>
      <c r="O37" s="349"/>
      <c r="P37" s="346">
        <f t="shared" si="2"/>
        <v>6</v>
      </c>
    </row>
    <row r="38" spans="1:17">
      <c r="A38" s="513">
        <f t="shared" si="1"/>
        <v>36</v>
      </c>
      <c r="B38" s="350"/>
      <c r="C38" s="349"/>
      <c r="D38" s="349"/>
      <c r="E38" s="349"/>
      <c r="F38" s="349"/>
      <c r="G38" s="349"/>
      <c r="H38" s="349"/>
      <c r="I38" s="349"/>
      <c r="J38" s="349"/>
      <c r="K38" s="349"/>
      <c r="L38" s="349">
        <v>59</v>
      </c>
      <c r="M38" s="349">
        <v>44</v>
      </c>
      <c r="N38" s="349"/>
      <c r="O38" s="349">
        <v>91</v>
      </c>
      <c r="P38" s="346">
        <f t="shared" si="2"/>
        <v>3</v>
      </c>
    </row>
    <row r="39" spans="1:17">
      <c r="A39" s="513">
        <f t="shared" si="1"/>
        <v>37</v>
      </c>
      <c r="B39" s="349"/>
      <c r="C39" s="349"/>
      <c r="D39" s="349">
        <v>78</v>
      </c>
      <c r="E39" s="349">
        <v>80</v>
      </c>
      <c r="F39" s="349">
        <v>70</v>
      </c>
      <c r="G39" s="349">
        <v>91</v>
      </c>
      <c r="H39" s="349"/>
      <c r="I39" s="349"/>
      <c r="J39" s="349"/>
      <c r="K39" s="349"/>
      <c r="L39" s="349"/>
      <c r="M39" s="349"/>
      <c r="N39" s="349"/>
      <c r="O39" s="349"/>
      <c r="P39" s="346">
        <f t="shared" si="2"/>
        <v>4</v>
      </c>
    </row>
    <row r="40" spans="1:17">
      <c r="A40" s="513">
        <f t="shared" si="1"/>
        <v>38</v>
      </c>
      <c r="B40" s="350"/>
      <c r="C40" s="349">
        <v>92</v>
      </c>
      <c r="D40" s="349">
        <v>68</v>
      </c>
      <c r="E40" s="349">
        <v>74</v>
      </c>
      <c r="F40" s="349">
        <v>65</v>
      </c>
      <c r="G40" s="349">
        <v>91</v>
      </c>
      <c r="H40" s="349">
        <v>89</v>
      </c>
      <c r="I40" s="349">
        <v>91</v>
      </c>
      <c r="J40" s="349">
        <v>76</v>
      </c>
      <c r="K40" s="349">
        <v>72</v>
      </c>
      <c r="L40" s="349">
        <v>67</v>
      </c>
      <c r="M40" s="349">
        <v>73</v>
      </c>
      <c r="N40" s="349"/>
      <c r="O40" s="349">
        <v>71</v>
      </c>
      <c r="P40" s="346">
        <f t="shared" si="2"/>
        <v>12</v>
      </c>
    </row>
    <row r="41" spans="1:17" s="347" customFormat="1">
      <c r="A41" s="513">
        <f t="shared" si="1"/>
        <v>39</v>
      </c>
      <c r="B41" s="348"/>
      <c r="C41" s="349">
        <v>94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6">
        <f t="shared" si="2"/>
        <v>1</v>
      </c>
      <c r="Q41" s="346"/>
    </row>
    <row r="42" spans="1:17">
      <c r="A42" s="513">
        <f t="shared" si="1"/>
        <v>40</v>
      </c>
      <c r="B42" s="350"/>
      <c r="C42" s="349">
        <v>93</v>
      </c>
      <c r="D42" s="349">
        <v>90</v>
      </c>
      <c r="E42" s="349">
        <v>100</v>
      </c>
      <c r="F42" s="349"/>
      <c r="G42" s="349"/>
      <c r="H42" s="349"/>
      <c r="I42" s="349"/>
      <c r="J42" s="349"/>
      <c r="K42" s="349"/>
      <c r="L42" s="349"/>
      <c r="M42" s="349"/>
      <c r="N42" s="349"/>
      <c r="O42" s="349">
        <v>80</v>
      </c>
      <c r="P42" s="346">
        <f t="shared" si="2"/>
        <v>4</v>
      </c>
    </row>
    <row r="43" spans="1:17">
      <c r="A43" s="513">
        <f t="shared" si="1"/>
        <v>41</v>
      </c>
      <c r="B43" s="349"/>
      <c r="C43" s="349"/>
      <c r="D43" s="349"/>
      <c r="E43" s="349"/>
      <c r="F43" s="349"/>
      <c r="G43" s="349">
        <v>90</v>
      </c>
      <c r="H43" s="349">
        <v>95</v>
      </c>
      <c r="I43" s="349"/>
      <c r="J43" s="349">
        <v>75</v>
      </c>
      <c r="K43" s="349">
        <v>79</v>
      </c>
      <c r="L43" s="349"/>
      <c r="M43" s="349"/>
      <c r="N43" s="349"/>
      <c r="O43" s="349"/>
      <c r="P43" s="346">
        <f t="shared" si="2"/>
        <v>4</v>
      </c>
    </row>
    <row r="44" spans="1:17">
      <c r="A44" s="513">
        <f t="shared" si="1"/>
        <v>42</v>
      </c>
      <c r="B44" s="349"/>
      <c r="C44" s="349"/>
      <c r="D44" s="349"/>
      <c r="E44" s="349"/>
      <c r="F44" s="349"/>
      <c r="G44" s="349"/>
      <c r="H44" s="349"/>
      <c r="I44" s="349">
        <v>76</v>
      </c>
      <c r="J44" s="349">
        <v>32</v>
      </c>
      <c r="K44" s="349">
        <v>74</v>
      </c>
      <c r="L44" s="349">
        <v>66</v>
      </c>
      <c r="M44" s="349"/>
      <c r="N44" s="349"/>
      <c r="O44" s="349"/>
      <c r="P44" s="346">
        <f t="shared" si="2"/>
        <v>4</v>
      </c>
    </row>
    <row r="45" spans="1:17">
      <c r="A45" s="513">
        <f t="shared" si="1"/>
        <v>43</v>
      </c>
      <c r="B45" s="349"/>
      <c r="C45" s="349"/>
      <c r="D45" s="349"/>
      <c r="E45" s="349"/>
      <c r="F45" s="349">
        <v>28</v>
      </c>
      <c r="G45" s="349"/>
      <c r="H45" s="349">
        <v>81</v>
      </c>
      <c r="I45" s="349">
        <v>78</v>
      </c>
      <c r="J45" s="349"/>
      <c r="K45" s="349"/>
      <c r="L45" s="349"/>
      <c r="M45" s="349"/>
      <c r="N45" s="349"/>
      <c r="O45" s="349"/>
      <c r="P45" s="346">
        <f t="shared" si="2"/>
        <v>3</v>
      </c>
    </row>
    <row r="46" spans="1:17">
      <c r="A46" s="513">
        <f t="shared" si="1"/>
        <v>44</v>
      </c>
      <c r="B46" s="349"/>
      <c r="C46" s="349"/>
      <c r="D46" s="349"/>
      <c r="E46" s="349">
        <v>85</v>
      </c>
      <c r="F46" s="349">
        <v>62</v>
      </c>
      <c r="G46" s="349">
        <v>90</v>
      </c>
      <c r="H46" s="349">
        <v>72</v>
      </c>
      <c r="I46" s="349"/>
      <c r="J46" s="349"/>
      <c r="K46" s="349"/>
      <c r="L46" s="349"/>
      <c r="M46" s="349"/>
      <c r="N46" s="349"/>
      <c r="O46" s="349"/>
      <c r="P46" s="346">
        <f t="shared" si="2"/>
        <v>4</v>
      </c>
    </row>
    <row r="47" spans="1:17" s="314" customFormat="1">
      <c r="A47" s="513">
        <f t="shared" si="1"/>
        <v>45</v>
      </c>
      <c r="B47" s="349"/>
      <c r="C47" s="349"/>
      <c r="D47" s="349"/>
      <c r="E47" s="349"/>
      <c r="F47" s="349"/>
      <c r="G47" s="349">
        <v>74</v>
      </c>
      <c r="H47" s="349"/>
      <c r="I47" s="349"/>
      <c r="J47" s="349"/>
      <c r="K47" s="349">
        <v>87</v>
      </c>
      <c r="L47" s="349">
        <v>70</v>
      </c>
      <c r="M47" s="349"/>
      <c r="N47" s="349"/>
      <c r="O47" s="349"/>
      <c r="P47" s="346">
        <f t="shared" si="2"/>
        <v>3</v>
      </c>
      <c r="Q47" s="243"/>
    </row>
    <row r="48" spans="1:17">
      <c r="A48" s="513">
        <f t="shared" si="1"/>
        <v>46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>
        <v>51</v>
      </c>
      <c r="L48" s="349">
        <v>45</v>
      </c>
      <c r="M48" s="349">
        <v>88</v>
      </c>
      <c r="N48" s="349"/>
      <c r="O48" s="349">
        <v>92</v>
      </c>
      <c r="P48" s="346">
        <f t="shared" si="2"/>
        <v>4</v>
      </c>
    </row>
    <row r="49" spans="1:16">
      <c r="A49" s="513">
        <f t="shared" si="1"/>
        <v>47</v>
      </c>
      <c r="B49" s="349"/>
      <c r="C49" s="349">
        <v>81</v>
      </c>
      <c r="D49" s="349">
        <v>52</v>
      </c>
      <c r="E49" s="349">
        <v>84</v>
      </c>
      <c r="F49" s="349">
        <v>17</v>
      </c>
      <c r="G49" s="349"/>
      <c r="H49" s="349"/>
      <c r="I49" s="349"/>
      <c r="J49" s="349"/>
      <c r="K49" s="349"/>
      <c r="L49" s="349"/>
      <c r="M49" s="349"/>
      <c r="N49" s="349"/>
      <c r="O49" s="349"/>
      <c r="P49" s="346">
        <f t="shared" si="2"/>
        <v>4</v>
      </c>
    </row>
    <row r="50" spans="1:16">
      <c r="A50" s="513">
        <f t="shared" si="1"/>
        <v>48</v>
      </c>
      <c r="B50" s="349"/>
      <c r="C50" s="349"/>
      <c r="D50" s="349">
        <v>80</v>
      </c>
      <c r="E50" s="349">
        <v>96</v>
      </c>
      <c r="F50" s="349">
        <v>50</v>
      </c>
      <c r="G50" s="349">
        <v>89</v>
      </c>
      <c r="H50" s="349"/>
      <c r="I50" s="349"/>
      <c r="J50" s="349"/>
      <c r="K50" s="349"/>
      <c r="L50" s="349"/>
      <c r="M50" s="349"/>
      <c r="N50" s="349"/>
      <c r="O50" s="349"/>
      <c r="P50" s="346">
        <f t="shared" si="2"/>
        <v>4</v>
      </c>
    </row>
    <row r="51" spans="1:16">
      <c r="A51" s="513">
        <f t="shared" si="1"/>
        <v>49</v>
      </c>
      <c r="B51" s="349"/>
      <c r="C51" s="349"/>
      <c r="D51" s="349"/>
      <c r="E51" s="349"/>
      <c r="F51" s="349"/>
      <c r="G51" s="349">
        <v>68</v>
      </c>
      <c r="H51" s="349">
        <v>58</v>
      </c>
      <c r="I51" s="349">
        <v>81</v>
      </c>
      <c r="J51" s="349">
        <v>41</v>
      </c>
      <c r="K51" s="349"/>
      <c r="L51" s="349"/>
      <c r="M51" s="349"/>
      <c r="N51" s="349"/>
      <c r="O51" s="349"/>
      <c r="P51" s="346">
        <f t="shared" si="2"/>
        <v>4</v>
      </c>
    </row>
    <row r="52" spans="1:16">
      <c r="A52" s="513">
        <f t="shared" si="1"/>
        <v>50</v>
      </c>
      <c r="B52" s="350"/>
      <c r="C52" s="349"/>
      <c r="D52" s="349"/>
      <c r="E52" s="349">
        <v>93</v>
      </c>
      <c r="F52" s="349"/>
      <c r="G52" s="349"/>
      <c r="H52" s="349"/>
      <c r="I52" s="349"/>
      <c r="J52" s="349">
        <v>62</v>
      </c>
      <c r="K52" s="349"/>
      <c r="L52" s="349">
        <v>80</v>
      </c>
      <c r="M52" s="349">
        <v>89</v>
      </c>
      <c r="N52" s="349"/>
      <c r="O52" s="349"/>
      <c r="P52" s="346">
        <f t="shared" si="2"/>
        <v>4</v>
      </c>
    </row>
    <row r="53" spans="1:16">
      <c r="A53" s="513">
        <f t="shared" si="1"/>
        <v>51</v>
      </c>
      <c r="B53" s="350"/>
      <c r="C53" s="349">
        <v>98</v>
      </c>
      <c r="D53" s="349"/>
      <c r="E53" s="349"/>
      <c r="F53" s="349"/>
      <c r="G53" s="349"/>
      <c r="H53" s="349"/>
      <c r="I53" s="349"/>
      <c r="J53" s="349"/>
      <c r="K53" s="349"/>
      <c r="L53" s="349"/>
      <c r="M53" s="349">
        <v>71</v>
      </c>
      <c r="N53" s="349"/>
      <c r="O53" s="349">
        <v>88</v>
      </c>
      <c r="P53" s="346">
        <f t="shared" si="2"/>
        <v>3</v>
      </c>
    </row>
    <row r="54" spans="1:16">
      <c r="A54" s="513">
        <f t="shared" si="1"/>
        <v>52</v>
      </c>
      <c r="B54" s="349"/>
      <c r="C54" s="349">
        <v>91</v>
      </c>
      <c r="D54" s="349">
        <v>70</v>
      </c>
      <c r="E54" s="349">
        <v>81</v>
      </c>
      <c r="F54" s="349">
        <v>55</v>
      </c>
      <c r="G54" s="349">
        <v>85</v>
      </c>
      <c r="H54" s="349">
        <v>81</v>
      </c>
      <c r="I54" s="349">
        <v>80</v>
      </c>
      <c r="J54" s="349">
        <v>46</v>
      </c>
      <c r="K54" s="349">
        <v>69</v>
      </c>
      <c r="L54" s="349">
        <v>53</v>
      </c>
      <c r="M54" s="349">
        <v>67</v>
      </c>
      <c r="N54" s="349"/>
      <c r="O54" s="349">
        <v>74</v>
      </c>
      <c r="P54" s="346">
        <f t="shared" si="2"/>
        <v>12</v>
      </c>
    </row>
    <row r="55" spans="1:16">
      <c r="A55" s="513">
        <f t="shared" si="1"/>
        <v>53</v>
      </c>
      <c r="B55" s="350"/>
      <c r="C55" s="349"/>
      <c r="D55" s="349"/>
      <c r="E55" s="349"/>
      <c r="F55" s="349"/>
      <c r="G55" s="349"/>
      <c r="H55" s="349"/>
      <c r="I55" s="349"/>
      <c r="J55" s="349"/>
      <c r="K55" s="349"/>
      <c r="L55" s="349">
        <v>66</v>
      </c>
      <c r="M55" s="349">
        <v>77</v>
      </c>
      <c r="N55" s="349"/>
      <c r="O55" s="349">
        <v>96</v>
      </c>
      <c r="P55" s="346">
        <f t="shared" si="2"/>
        <v>3</v>
      </c>
    </row>
    <row r="56" spans="1:16">
      <c r="A56" s="513">
        <f t="shared" si="1"/>
        <v>54</v>
      </c>
      <c r="B56" s="349"/>
      <c r="C56" s="349"/>
      <c r="D56" s="349"/>
      <c r="E56" s="349"/>
      <c r="F56" s="349"/>
      <c r="G56" s="349"/>
      <c r="H56" s="349"/>
      <c r="I56" s="349">
        <v>79</v>
      </c>
      <c r="J56" s="349">
        <v>74</v>
      </c>
      <c r="K56" s="349">
        <v>76</v>
      </c>
      <c r="L56" s="349">
        <v>51</v>
      </c>
      <c r="M56" s="349"/>
      <c r="N56" s="349"/>
      <c r="O56" s="349"/>
      <c r="P56" s="346">
        <f t="shared" si="2"/>
        <v>4</v>
      </c>
    </row>
    <row r="57" spans="1:16">
      <c r="A57" s="513">
        <f t="shared" si="1"/>
        <v>55</v>
      </c>
      <c r="B57" s="349"/>
      <c r="C57" s="349">
        <v>83</v>
      </c>
      <c r="D57" s="349">
        <v>75</v>
      </c>
      <c r="E57" s="349">
        <v>85</v>
      </c>
      <c r="F57" s="349"/>
      <c r="G57" s="349"/>
      <c r="H57" s="349"/>
      <c r="I57" s="349"/>
      <c r="J57" s="349"/>
      <c r="K57" s="349"/>
      <c r="L57" s="349"/>
      <c r="M57" s="349"/>
      <c r="N57" s="349"/>
      <c r="O57" s="349">
        <v>80</v>
      </c>
      <c r="P57" s="346">
        <f t="shared" si="2"/>
        <v>4</v>
      </c>
    </row>
    <row r="58" spans="1:16">
      <c r="A58" s="513">
        <f t="shared" si="1"/>
        <v>56</v>
      </c>
      <c r="B58" s="350"/>
      <c r="C58" s="349"/>
      <c r="D58" s="349"/>
      <c r="E58" s="349">
        <v>94</v>
      </c>
      <c r="F58" s="349">
        <v>71</v>
      </c>
      <c r="G58" s="349">
        <v>92</v>
      </c>
      <c r="H58" s="349">
        <v>78</v>
      </c>
      <c r="I58" s="349"/>
      <c r="J58" s="349"/>
      <c r="K58" s="349"/>
      <c r="L58" s="349"/>
      <c r="M58" s="349"/>
      <c r="N58" s="349"/>
      <c r="O58" s="349"/>
      <c r="P58" s="346">
        <f t="shared" si="2"/>
        <v>4</v>
      </c>
    </row>
    <row r="59" spans="1:16">
      <c r="A59" s="513">
        <f t="shared" si="1"/>
        <v>57</v>
      </c>
      <c r="B59" s="350"/>
      <c r="C59" s="349">
        <v>92</v>
      </c>
      <c r="D59" s="349">
        <v>44</v>
      </c>
      <c r="E59" s="349">
        <v>100</v>
      </c>
      <c r="F59" s="349">
        <v>62</v>
      </c>
      <c r="G59" s="349">
        <v>79</v>
      </c>
      <c r="H59" s="349">
        <v>61</v>
      </c>
      <c r="I59" s="349">
        <v>82</v>
      </c>
      <c r="J59" s="349">
        <v>45</v>
      </c>
      <c r="K59" s="349">
        <v>53</v>
      </c>
      <c r="L59" s="349">
        <v>33</v>
      </c>
      <c r="M59" s="349">
        <v>32</v>
      </c>
      <c r="N59" s="349"/>
      <c r="O59" s="349">
        <v>73</v>
      </c>
      <c r="P59" s="346"/>
    </row>
    <row r="60" spans="1:16">
      <c r="A60" s="513">
        <f t="shared" si="1"/>
        <v>58</v>
      </c>
      <c r="B60" s="350"/>
      <c r="C60" s="349">
        <v>71</v>
      </c>
      <c r="D60" s="349">
        <v>57</v>
      </c>
      <c r="E60" s="349">
        <v>94</v>
      </c>
      <c r="F60" s="349"/>
      <c r="G60" s="349">
        <v>82</v>
      </c>
      <c r="H60" s="349"/>
      <c r="I60" s="349"/>
      <c r="J60" s="349"/>
      <c r="K60" s="349"/>
      <c r="L60" s="349"/>
      <c r="M60" s="349"/>
      <c r="N60" s="349"/>
      <c r="O60" s="349"/>
      <c r="P60" s="346"/>
    </row>
    <row r="61" spans="1:16">
      <c r="A61" s="513">
        <f t="shared" si="1"/>
        <v>59</v>
      </c>
      <c r="B61" s="350"/>
      <c r="C61" s="349"/>
      <c r="D61" s="349"/>
      <c r="E61" s="349"/>
      <c r="F61" s="349"/>
      <c r="G61" s="349">
        <v>96</v>
      </c>
      <c r="H61" s="349">
        <v>78</v>
      </c>
      <c r="I61" s="349">
        <v>77</v>
      </c>
      <c r="J61" s="349">
        <v>68</v>
      </c>
      <c r="K61" s="349"/>
      <c r="L61" s="349"/>
      <c r="M61" s="349"/>
      <c r="N61" s="349"/>
      <c r="O61" s="349"/>
      <c r="P61" s="346"/>
    </row>
    <row r="62" spans="1:16">
      <c r="A62" s="513">
        <f t="shared" si="1"/>
        <v>60</v>
      </c>
      <c r="B62" s="350"/>
      <c r="C62" s="348">
        <v>97</v>
      </c>
      <c r="D62" s="348">
        <v>73</v>
      </c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>
        <v>91</v>
      </c>
      <c r="P62" s="346"/>
    </row>
    <row r="63" spans="1:16">
      <c r="A63" s="399">
        <v>61</v>
      </c>
      <c r="B63" s="350"/>
      <c r="C63" s="351"/>
      <c r="D63" s="351"/>
      <c r="E63" s="351"/>
      <c r="F63" s="351"/>
      <c r="G63" s="351"/>
      <c r="H63" s="348"/>
      <c r="I63" s="348"/>
      <c r="J63" s="348"/>
      <c r="K63" s="348">
        <v>67</v>
      </c>
      <c r="L63" s="349">
        <v>68</v>
      </c>
      <c r="M63" s="349">
        <v>58</v>
      </c>
      <c r="N63" s="351"/>
      <c r="O63" s="351"/>
      <c r="P63" s="346"/>
    </row>
    <row r="64" spans="1:16">
      <c r="A64" s="399"/>
      <c r="B64" s="350"/>
      <c r="C64" s="348"/>
      <c r="D64" s="351"/>
      <c r="E64" s="351"/>
      <c r="F64" s="351"/>
      <c r="G64" s="351"/>
      <c r="H64" s="351"/>
      <c r="I64" s="351"/>
      <c r="J64" s="351"/>
      <c r="K64" s="351"/>
      <c r="L64" s="351"/>
      <c r="M64" s="348"/>
      <c r="N64" s="348"/>
      <c r="O64" s="348"/>
      <c r="P64" s="346"/>
    </row>
    <row r="65" spans="1:19">
      <c r="A65" s="399"/>
      <c r="B65" s="350"/>
      <c r="C65" s="351"/>
      <c r="D65" s="348"/>
      <c r="E65" s="348"/>
      <c r="F65" s="348"/>
      <c r="G65" s="348"/>
      <c r="H65" s="351"/>
      <c r="I65" s="351"/>
      <c r="J65" s="351"/>
      <c r="K65" s="351"/>
      <c r="L65" s="351"/>
      <c r="M65" s="351"/>
      <c r="N65" s="351"/>
      <c r="O65" s="351"/>
      <c r="P65" s="346"/>
    </row>
    <row r="67" spans="1:19">
      <c r="A67" s="315" t="s">
        <v>76</v>
      </c>
      <c r="C67" s="352">
        <f t="shared" ref="C67:L67" si="3">AVERAGE(C3:C66)</f>
        <v>88.86</v>
      </c>
      <c r="D67" s="352">
        <f t="shared" si="3"/>
        <v>67.319444444444443</v>
      </c>
      <c r="E67" s="352">
        <f t="shared" si="3"/>
        <v>87.354166666666671</v>
      </c>
      <c r="F67" s="352">
        <f t="shared" si="3"/>
        <v>49.487499999999997</v>
      </c>
      <c r="G67" s="352">
        <f t="shared" si="3"/>
        <v>78.861111111111114</v>
      </c>
      <c r="H67" s="352">
        <f t="shared" si="3"/>
        <v>74.214285714285708</v>
      </c>
      <c r="I67" s="352">
        <f t="shared" si="3"/>
        <v>82.681818181818187</v>
      </c>
      <c r="J67" s="352">
        <f t="shared" si="3"/>
        <v>53.619565217391305</v>
      </c>
      <c r="K67" s="352">
        <f t="shared" si="3"/>
        <v>67.119565217391298</v>
      </c>
      <c r="L67" s="352">
        <f t="shared" si="3"/>
        <v>54.90625</v>
      </c>
      <c r="M67" s="352">
        <f t="shared" ref="M67" si="4">AVERAGE(M3:M66)</f>
        <v>63.74</v>
      </c>
      <c r="N67" s="352"/>
      <c r="O67" s="352">
        <f t="shared" ref="O67" si="5">AVERAGE(O3:O66)</f>
        <v>80.037499999999994</v>
      </c>
    </row>
    <row r="68" spans="1:19">
      <c r="A68" s="315" t="s">
        <v>54</v>
      </c>
      <c r="C68" s="352">
        <f>IF(C67&lt;5, 5,C67)</f>
        <v>88.86</v>
      </c>
      <c r="D68" s="352">
        <f t="shared" ref="D68:L68" si="6">IF(D67&lt;5, 5,D67)</f>
        <v>67.319444444444443</v>
      </c>
      <c r="E68" s="352">
        <f t="shared" si="6"/>
        <v>87.354166666666671</v>
      </c>
      <c r="F68" s="352">
        <f t="shared" si="6"/>
        <v>49.487499999999997</v>
      </c>
      <c r="G68" s="352">
        <f t="shared" si="6"/>
        <v>78.861111111111114</v>
      </c>
      <c r="H68" s="352">
        <f t="shared" si="6"/>
        <v>74.214285714285708</v>
      </c>
      <c r="I68" s="352">
        <f t="shared" si="6"/>
        <v>82.681818181818187</v>
      </c>
      <c r="J68" s="352">
        <f t="shared" si="6"/>
        <v>53.619565217391305</v>
      </c>
      <c r="K68" s="352">
        <f t="shared" si="6"/>
        <v>67.119565217391298</v>
      </c>
      <c r="L68" s="352">
        <f t="shared" si="6"/>
        <v>54.90625</v>
      </c>
      <c r="M68" s="352">
        <f t="shared" ref="M68" si="7">IF(M67&lt;5, 5,M67)</f>
        <v>63.74</v>
      </c>
      <c r="N68" s="352"/>
      <c r="O68" s="352">
        <f t="shared" ref="O68" si="8">IF(O67&lt;5, 5,O67)</f>
        <v>80.037499999999994</v>
      </c>
    </row>
    <row r="69" spans="1:19">
      <c r="M69" s="163"/>
      <c r="O69" s="163"/>
      <c r="S69" s="314" t="s">
        <v>149</v>
      </c>
    </row>
    <row r="70" spans="1:19">
      <c r="A70" s="315" t="s">
        <v>177</v>
      </c>
      <c r="C70" s="163">
        <f>COUNTA(C3:C65)</f>
        <v>20</v>
      </c>
      <c r="D70" s="163">
        <f t="shared" ref="D70:N70" si="9">COUNTA(D3:D65)</f>
        <v>18</v>
      </c>
      <c r="E70" s="163">
        <f t="shared" si="9"/>
        <v>24</v>
      </c>
      <c r="F70" s="163">
        <f t="shared" si="9"/>
        <v>20</v>
      </c>
      <c r="G70" s="163">
        <f t="shared" si="9"/>
        <v>27</v>
      </c>
      <c r="H70" s="163">
        <f t="shared" si="9"/>
        <v>28</v>
      </c>
      <c r="I70" s="163">
        <f t="shared" si="9"/>
        <v>22</v>
      </c>
      <c r="J70" s="163">
        <f t="shared" si="9"/>
        <v>23</v>
      </c>
      <c r="K70" s="163">
        <f t="shared" si="9"/>
        <v>23</v>
      </c>
      <c r="L70" s="163">
        <f t="shared" si="9"/>
        <v>24</v>
      </c>
      <c r="M70" s="163">
        <f t="shared" ref="M70" si="10">COUNTA(M3:M65)</f>
        <v>25</v>
      </c>
      <c r="N70" s="163">
        <f t="shared" si="9"/>
        <v>0</v>
      </c>
      <c r="O70" s="163">
        <f t="shared" ref="O70" si="11">COUNTA(O3:O65)</f>
        <v>20</v>
      </c>
      <c r="S70" s="314" t="s">
        <v>150</v>
      </c>
    </row>
    <row r="71" spans="1:19">
      <c r="B71" s="315" t="s">
        <v>184</v>
      </c>
      <c r="C71" s="315">
        <f t="shared" ref="C71:L71" si="12">RANK(C68,$C$68:$O$68)</f>
        <v>1</v>
      </c>
      <c r="D71" s="315">
        <f t="shared" si="12"/>
        <v>7</v>
      </c>
      <c r="E71" s="315">
        <f t="shared" si="12"/>
        <v>2</v>
      </c>
      <c r="F71" s="315">
        <f t="shared" si="12"/>
        <v>12</v>
      </c>
      <c r="G71" s="315">
        <f t="shared" si="12"/>
        <v>5</v>
      </c>
      <c r="H71" s="315">
        <f t="shared" si="12"/>
        <v>6</v>
      </c>
      <c r="I71" s="315">
        <f t="shared" si="12"/>
        <v>3</v>
      </c>
      <c r="J71" s="315">
        <f t="shared" si="12"/>
        <v>11</v>
      </c>
      <c r="K71" s="315">
        <f t="shared" si="12"/>
        <v>8</v>
      </c>
      <c r="L71" s="315">
        <f t="shared" si="12"/>
        <v>10</v>
      </c>
      <c r="M71" s="315">
        <f t="shared" ref="M71" si="13">RANK(M68,$C$68:$O$68)</f>
        <v>9</v>
      </c>
      <c r="N71" s="315"/>
      <c r="O71" s="315">
        <f t="shared" ref="O71" si="14">RANK(O68,$C$68:$O$68)</f>
        <v>4</v>
      </c>
    </row>
  </sheetData>
  <phoneticPr fontId="23" type="noConversion"/>
  <printOptions gridLines="1"/>
  <pageMargins left="0.75" right="0.75" top="1" bottom="1" header="0.5" footer="0.5"/>
  <pageSetup scale="50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25"/>
  <sheetViews>
    <sheetView zoomScale="75" workbookViewId="0">
      <selection activeCell="B16" sqref="B16"/>
    </sheetView>
  </sheetViews>
  <sheetFormatPr defaultColWidth="8.88671875" defaultRowHeight="13.2"/>
  <cols>
    <col min="1" max="1" width="50.88671875" customWidth="1"/>
  </cols>
  <sheetData>
    <row r="1" spans="1:3" ht="17.399999999999999">
      <c r="A1" s="7" t="s">
        <v>203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4.4">
      <c r="A5" s="319" t="s">
        <v>190</v>
      </c>
      <c r="B5" s="400">
        <v>50</v>
      </c>
    </row>
    <row r="6" spans="1:3" ht="14.4">
      <c r="A6" s="319" t="s">
        <v>191</v>
      </c>
      <c r="B6" s="400">
        <v>50</v>
      </c>
    </row>
    <row r="7" spans="1:3" ht="14.4">
      <c r="A7" s="319" t="s">
        <v>192</v>
      </c>
      <c r="B7" s="400">
        <v>50</v>
      </c>
    </row>
    <row r="8" spans="1:3" s="231" customFormat="1" ht="14.4">
      <c r="A8" s="432" t="s">
        <v>213</v>
      </c>
      <c r="B8" s="392">
        <v>0</v>
      </c>
    </row>
    <row r="9" spans="1:3" ht="14.4">
      <c r="A9" s="319" t="s">
        <v>193</v>
      </c>
      <c r="B9" s="400">
        <v>50</v>
      </c>
    </row>
    <row r="10" spans="1:3" ht="14.4">
      <c r="A10" s="319" t="s">
        <v>194</v>
      </c>
      <c r="B10" s="400">
        <v>50</v>
      </c>
    </row>
    <row r="11" spans="1:3" ht="14.4">
      <c r="A11" s="383" t="s">
        <v>195</v>
      </c>
      <c r="B11" s="400">
        <v>50</v>
      </c>
    </row>
    <row r="12" spans="1:3" ht="14.4">
      <c r="A12" s="319" t="s">
        <v>196</v>
      </c>
      <c r="B12" s="400">
        <v>50</v>
      </c>
    </row>
    <row r="13" spans="1:3" ht="14.4">
      <c r="A13" s="319" t="s">
        <v>197</v>
      </c>
      <c r="B13" s="400">
        <v>50</v>
      </c>
    </row>
    <row r="14" spans="1:3" s="140" customFormat="1" ht="14.4">
      <c r="A14" s="319" t="s">
        <v>198</v>
      </c>
      <c r="B14" s="400">
        <v>50</v>
      </c>
    </row>
    <row r="15" spans="1:3" ht="14.4">
      <c r="A15" s="429" t="s">
        <v>199</v>
      </c>
      <c r="B15" s="400">
        <v>50</v>
      </c>
    </row>
    <row r="16" spans="1:3" ht="14.4">
      <c r="A16" s="435" t="s">
        <v>216</v>
      </c>
      <c r="B16" s="392">
        <v>0</v>
      </c>
    </row>
    <row r="17" spans="1:2" ht="14.4">
      <c r="A17" s="429" t="s">
        <v>200</v>
      </c>
      <c r="B17" s="400">
        <v>50</v>
      </c>
    </row>
    <row r="18" spans="1:2" ht="14.4">
      <c r="A18" s="382"/>
      <c r="B18" s="392" t="s">
        <v>46</v>
      </c>
    </row>
    <row r="19" spans="1:2">
      <c r="B19" s="314" t="s">
        <v>159</v>
      </c>
    </row>
    <row r="20" spans="1:2">
      <c r="A20" s="22"/>
    </row>
    <row r="21" spans="1:2">
      <c r="A21" s="22"/>
    </row>
    <row r="22" spans="1:2">
      <c r="A22" s="22"/>
    </row>
    <row r="23" spans="1:2">
      <c r="A23" s="22"/>
    </row>
    <row r="24" spans="1:2">
      <c r="A24" s="22"/>
    </row>
    <row r="25" spans="1:2">
      <c r="A25" s="22"/>
    </row>
  </sheetData>
  <phoneticPr fontId="23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34"/>
  <sheetViews>
    <sheetView topLeftCell="C1" workbookViewId="0">
      <selection activeCell="Q18" sqref="Q18"/>
    </sheetView>
  </sheetViews>
  <sheetFormatPr defaultColWidth="8.88671875" defaultRowHeight="13.2"/>
  <cols>
    <col min="1" max="1" width="25.4414062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206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5" ht="17.399999999999999">
      <c r="A1" s="7" t="s">
        <v>204</v>
      </c>
      <c r="B1" s="6"/>
      <c r="C1" s="6"/>
      <c r="D1" s="6"/>
    </row>
    <row r="2" spans="1:15" s="65" customFormat="1">
      <c r="A2" s="38"/>
      <c r="B2" s="38"/>
      <c r="C2" s="38"/>
      <c r="D2" s="38"/>
      <c r="E2" s="206"/>
    </row>
    <row r="3" spans="1:15" s="65" customFormat="1">
      <c r="A3" s="38"/>
      <c r="B3" s="66"/>
      <c r="C3" s="80"/>
      <c r="D3" s="38"/>
      <c r="E3" s="206"/>
    </row>
    <row r="4" spans="1:15" s="65" customFormat="1">
      <c r="A4" s="38"/>
      <c r="B4" s="66"/>
      <c r="C4" s="80"/>
      <c r="D4" s="38"/>
      <c r="E4" s="206"/>
    </row>
    <row r="5" spans="1:15" s="65" customFormat="1" ht="17.399999999999999">
      <c r="A5" s="24"/>
      <c r="B5" s="24"/>
      <c r="C5" s="24"/>
      <c r="D5" s="38"/>
      <c r="E5" s="206"/>
      <c r="H5" s="321"/>
    </row>
    <row r="6" spans="1:15" ht="52.8">
      <c r="A6" s="130" t="s">
        <v>126</v>
      </c>
      <c r="B6" s="130"/>
      <c r="C6" s="130" t="s">
        <v>69</v>
      </c>
      <c r="D6" s="130"/>
      <c r="E6" s="271" t="s">
        <v>153</v>
      </c>
      <c r="F6" s="271"/>
      <c r="G6" s="271"/>
      <c r="H6" s="271" t="s">
        <v>123</v>
      </c>
      <c r="I6" s="271" t="s">
        <v>124</v>
      </c>
      <c r="J6" s="271" t="s">
        <v>125</v>
      </c>
      <c r="K6" s="271"/>
      <c r="L6" s="271" t="s">
        <v>156</v>
      </c>
      <c r="M6" s="271" t="s">
        <v>28</v>
      </c>
    </row>
    <row r="7" spans="1:15" ht="28.8">
      <c r="A7" s="319" t="s">
        <v>190</v>
      </c>
      <c r="C7" s="270">
        <v>10988.82</v>
      </c>
      <c r="D7" s="265"/>
      <c r="E7" s="326">
        <f t="shared" ref="E7:E17" si="0">-($B$24*C7)+$B$25</f>
        <v>14.030436707218414</v>
      </c>
      <c r="F7" s="53"/>
      <c r="H7" s="399">
        <v>8</v>
      </c>
      <c r="I7" s="450">
        <v>6</v>
      </c>
      <c r="J7" s="451">
        <v>7</v>
      </c>
      <c r="K7" s="53"/>
      <c r="L7" s="258">
        <f>IF(SUM(E7:J7)&lt;2.5,2.5,SUM(E7:J7))</f>
        <v>35.030436707218414</v>
      </c>
      <c r="M7" s="256">
        <f t="shared" ref="M7:M16" si="1">RANK(L7,$L$7:$L$19)</f>
        <v>3</v>
      </c>
    </row>
    <row r="8" spans="1:15" ht="28.8">
      <c r="A8" s="319" t="s">
        <v>191</v>
      </c>
      <c r="C8" s="270">
        <v>15584.7</v>
      </c>
      <c r="D8" s="266"/>
      <c r="E8" s="326">
        <f t="shared" si="0"/>
        <v>0</v>
      </c>
      <c r="F8" s="53"/>
      <c r="H8" s="452">
        <v>9</v>
      </c>
      <c r="I8" s="453">
        <v>7</v>
      </c>
      <c r="J8" s="454">
        <v>4</v>
      </c>
      <c r="K8" s="53"/>
      <c r="L8" s="258">
        <f t="shared" ref="L8:L16" si="2">IF(SUM(E8:J8)&lt;2.5,2.5,SUM(E8:J8))</f>
        <v>20</v>
      </c>
      <c r="M8" s="256">
        <f t="shared" si="1"/>
        <v>10</v>
      </c>
    </row>
    <row r="9" spans="1:15" ht="14.4">
      <c r="A9" s="319" t="s">
        <v>192</v>
      </c>
      <c r="C9" s="270">
        <v>11960.79</v>
      </c>
      <c r="D9" s="267"/>
      <c r="E9" s="326">
        <f t="shared" si="0"/>
        <v>11.063178300489973</v>
      </c>
      <c r="F9" s="53"/>
      <c r="H9" s="452">
        <v>10</v>
      </c>
      <c r="I9" s="453">
        <v>10</v>
      </c>
      <c r="J9" s="454">
        <v>8</v>
      </c>
      <c r="K9" s="53"/>
      <c r="L9" s="258">
        <f t="shared" si="2"/>
        <v>39.063178300489973</v>
      </c>
      <c r="M9" s="256">
        <f t="shared" si="1"/>
        <v>2</v>
      </c>
    </row>
    <row r="10" spans="1:15" s="254" customFormat="1" ht="28.8">
      <c r="A10" s="432" t="s">
        <v>213</v>
      </c>
      <c r="B10"/>
      <c r="C10" s="270">
        <v>13192</v>
      </c>
      <c r="D10" s="268"/>
      <c r="E10" s="326">
        <f t="shared" si="0"/>
        <v>7.304504449498566</v>
      </c>
      <c r="F10" s="53"/>
      <c r="G10"/>
      <c r="H10" s="452">
        <v>0</v>
      </c>
      <c r="I10" s="453">
        <v>0</v>
      </c>
      <c r="J10" s="454">
        <v>0</v>
      </c>
      <c r="K10" s="53"/>
      <c r="L10" s="258">
        <f t="shared" si="2"/>
        <v>7.304504449498566</v>
      </c>
      <c r="M10" s="256">
        <f t="shared" si="1"/>
        <v>12</v>
      </c>
    </row>
    <row r="11" spans="1:15" s="254" customFormat="1" ht="28.8">
      <c r="A11" s="319" t="s">
        <v>193</v>
      </c>
      <c r="B11"/>
      <c r="C11" s="270">
        <v>12352.64</v>
      </c>
      <c r="D11" s="267"/>
      <c r="E11" s="326">
        <f t="shared" si="0"/>
        <v>9.8669271747592049</v>
      </c>
      <c r="F11" s="53"/>
      <c r="G11"/>
      <c r="H11" s="452">
        <v>10</v>
      </c>
      <c r="I11" s="453">
        <v>8</v>
      </c>
      <c r="J11" s="454">
        <v>5</v>
      </c>
      <c r="K11" s="53"/>
      <c r="L11" s="258">
        <f t="shared" si="2"/>
        <v>32.866927174759205</v>
      </c>
      <c r="M11" s="256">
        <f t="shared" si="1"/>
        <v>4</v>
      </c>
    </row>
    <row r="12" spans="1:15" s="254" customFormat="1" ht="14.4">
      <c r="A12" s="319" t="s">
        <v>194</v>
      </c>
      <c r="B12"/>
      <c r="C12" s="270">
        <v>11747.58</v>
      </c>
      <c r="D12" s="267"/>
      <c r="E12" s="326">
        <f t="shared" si="0"/>
        <v>11.714072016241047</v>
      </c>
      <c r="F12" s="53"/>
      <c r="G12"/>
      <c r="H12" s="452">
        <v>5</v>
      </c>
      <c r="I12" s="453">
        <v>8</v>
      </c>
      <c r="J12" s="454">
        <v>6</v>
      </c>
      <c r="K12" s="53"/>
      <c r="L12" s="258">
        <f t="shared" si="2"/>
        <v>30.714072016241047</v>
      </c>
      <c r="M12" s="256">
        <f t="shared" si="1"/>
        <v>7</v>
      </c>
    </row>
    <row r="13" spans="1:15" ht="14.4">
      <c r="A13" s="383" t="s">
        <v>195</v>
      </c>
      <c r="C13" s="270">
        <v>14943.67</v>
      </c>
      <c r="D13" s="265"/>
      <c r="E13" s="326">
        <f t="shared" si="0"/>
        <v>1.9569551081464738</v>
      </c>
      <c r="F13" s="53"/>
      <c r="H13" s="452">
        <v>5</v>
      </c>
      <c r="I13" s="453">
        <v>6</v>
      </c>
      <c r="J13" s="454">
        <v>5</v>
      </c>
      <c r="K13" s="53"/>
      <c r="L13" s="258">
        <f t="shared" si="2"/>
        <v>17.956955108146474</v>
      </c>
      <c r="M13" s="256">
        <f t="shared" si="1"/>
        <v>11</v>
      </c>
      <c r="O13" s="206" t="s">
        <v>222</v>
      </c>
    </row>
    <row r="14" spans="1:15" ht="14.4">
      <c r="A14" s="319" t="s">
        <v>196</v>
      </c>
      <c r="C14" s="270">
        <v>14623.42</v>
      </c>
      <c r="D14" s="265"/>
      <c r="E14" s="326">
        <f t="shared" si="0"/>
        <v>2.934623662479197</v>
      </c>
      <c r="F14" s="53"/>
      <c r="H14" s="452">
        <v>10</v>
      </c>
      <c r="I14" s="453">
        <v>8</v>
      </c>
      <c r="J14" s="454">
        <v>7</v>
      </c>
      <c r="K14" s="53"/>
      <c r="L14" s="258">
        <f t="shared" si="2"/>
        <v>27.934623662479197</v>
      </c>
      <c r="M14" s="256">
        <f t="shared" si="1"/>
        <v>8</v>
      </c>
    </row>
    <row r="15" spans="1:15" ht="28.8">
      <c r="A15" s="319" t="s">
        <v>197</v>
      </c>
      <c r="C15" s="270">
        <v>12956.45</v>
      </c>
      <c r="D15" s="265"/>
      <c r="E15" s="326">
        <f t="shared" si="0"/>
        <v>8.0235983697891982</v>
      </c>
      <c r="F15" s="53"/>
      <c r="H15" s="452">
        <v>10</v>
      </c>
      <c r="I15" s="453">
        <v>8</v>
      </c>
      <c r="J15" s="454">
        <v>6</v>
      </c>
      <c r="K15" s="53"/>
      <c r="L15" s="258">
        <f t="shared" si="2"/>
        <v>32.023598369789198</v>
      </c>
      <c r="M15" s="256">
        <f t="shared" si="1"/>
        <v>5</v>
      </c>
    </row>
    <row r="16" spans="1:15" ht="14.4">
      <c r="A16" s="319" t="s">
        <v>198</v>
      </c>
      <c r="C16" s="270">
        <v>14415</v>
      </c>
      <c r="D16" s="269"/>
      <c r="E16" s="326">
        <f t="shared" si="0"/>
        <v>3.5708943263169104</v>
      </c>
      <c r="F16" s="53"/>
      <c r="H16" s="452">
        <v>7</v>
      </c>
      <c r="I16" s="453">
        <v>7</v>
      </c>
      <c r="J16" s="454">
        <v>3</v>
      </c>
      <c r="K16" s="53"/>
      <c r="L16" s="258">
        <f t="shared" si="2"/>
        <v>20.57089432631691</v>
      </c>
      <c r="M16" s="256">
        <f t="shared" si="1"/>
        <v>9</v>
      </c>
    </row>
    <row r="17" spans="1:15" ht="28.8">
      <c r="A17" s="429" t="s">
        <v>199</v>
      </c>
      <c r="C17" s="270">
        <v>13819.48</v>
      </c>
      <c r="D17" s="270"/>
      <c r="E17" s="326">
        <f t="shared" si="0"/>
        <v>5.3889151771404116</v>
      </c>
      <c r="F17" s="53"/>
      <c r="H17" s="452">
        <v>10</v>
      </c>
      <c r="I17" s="453">
        <v>10</v>
      </c>
      <c r="J17" s="454">
        <v>6</v>
      </c>
      <c r="K17" s="53"/>
      <c r="L17" s="258">
        <f t="shared" ref="L17" si="3">IF(SUM(E17:J17)&lt;2.5,2.5,SUM(E17:J17))</f>
        <v>31.388915177140412</v>
      </c>
      <c r="M17" s="256">
        <f t="shared" ref="M17" si="4">RANK(L17,$L$7:$L$19)</f>
        <v>6</v>
      </c>
    </row>
    <row r="18" spans="1:15" s="140" customFormat="1" ht="28.8">
      <c r="A18" s="435" t="s">
        <v>216</v>
      </c>
      <c r="B18"/>
      <c r="C18" s="270"/>
      <c r="D18" s="267"/>
      <c r="E18" s="326"/>
      <c r="F18" s="53"/>
      <c r="G18"/>
      <c r="H18" s="452">
        <v>0</v>
      </c>
      <c r="I18" s="453">
        <v>0</v>
      </c>
      <c r="J18" s="454">
        <v>0</v>
      </c>
      <c r="K18" s="53"/>
      <c r="L18" s="258">
        <v>0</v>
      </c>
      <c r="M18" s="256">
        <f>RANK(L18,$L$7:$L$19)</f>
        <v>13</v>
      </c>
      <c r="O18" s="143" t="s">
        <v>242</v>
      </c>
    </row>
    <row r="19" spans="1:15" s="140" customFormat="1" ht="14.4">
      <c r="A19" s="429" t="s">
        <v>200</v>
      </c>
      <c r="B19"/>
      <c r="C19" s="270">
        <v>9033.4</v>
      </c>
      <c r="D19" s="267"/>
      <c r="E19" s="326">
        <f>-($B$24*C19)+$B$25</f>
        <v>19.999999999999996</v>
      </c>
      <c r="F19" s="53"/>
      <c r="G19"/>
      <c r="H19" s="452">
        <v>8</v>
      </c>
      <c r="I19" s="453">
        <v>8</v>
      </c>
      <c r="J19" s="454">
        <v>8</v>
      </c>
      <c r="K19" s="53"/>
      <c r="L19" s="258">
        <f t="shared" ref="L19" si="5">IF(SUM(E19:J19)&lt;2.5,2.5,SUM(E19:J19))</f>
        <v>44</v>
      </c>
      <c r="M19" s="256">
        <f>RANK(L19,$L$7:$L$19)</f>
        <v>1</v>
      </c>
    </row>
    <row r="20" spans="1:15" ht="14.4">
      <c r="A20" s="291"/>
      <c r="B20" s="57"/>
      <c r="C20" s="315"/>
      <c r="D20" s="6"/>
      <c r="M20" s="322"/>
    </row>
    <row r="21" spans="1:15" ht="14.4">
      <c r="A21" s="327" t="s">
        <v>136</v>
      </c>
      <c r="B21" s="57"/>
      <c r="C21" s="191"/>
      <c r="D21" s="6"/>
      <c r="L21" s="314" t="s">
        <v>158</v>
      </c>
    </row>
    <row r="22" spans="1:15">
      <c r="A22" s="129" t="s">
        <v>137</v>
      </c>
      <c r="B22" s="40"/>
      <c r="C22" s="52"/>
      <c r="D22" s="6"/>
    </row>
    <row r="23" spans="1:15">
      <c r="A23" s="129" t="s">
        <v>138</v>
      </c>
      <c r="B23" s="40"/>
      <c r="C23" s="52"/>
      <c r="D23" s="6"/>
    </row>
    <row r="24" spans="1:15">
      <c r="A24" s="129" t="s">
        <v>139</v>
      </c>
      <c r="B24" s="299">
        <f>20/(B27-B26)</f>
        <v>3.0528292094698759E-3</v>
      </c>
      <c r="C24" s="52"/>
      <c r="D24" s="6"/>
    </row>
    <row r="25" spans="1:15">
      <c r="A25" s="129" t="s">
        <v>140</v>
      </c>
      <c r="B25" s="40">
        <f>20+(B24*B26)</f>
        <v>47.577427380825171</v>
      </c>
      <c r="C25" s="52"/>
      <c r="D25" s="6"/>
    </row>
    <row r="26" spans="1:15">
      <c r="A26" s="129" t="s">
        <v>82</v>
      </c>
      <c r="B26" s="297">
        <f>MIN(C7:C19)</f>
        <v>9033.4</v>
      </c>
      <c r="C26" s="52"/>
      <c r="D26" s="6"/>
    </row>
    <row r="27" spans="1:15">
      <c r="A27" s="49" t="s">
        <v>141</v>
      </c>
      <c r="B27" s="298">
        <f>MAX(C7:C19)</f>
        <v>15584.7</v>
      </c>
      <c r="C27" s="52"/>
      <c r="D27" s="6"/>
    </row>
    <row r="28" spans="1:15">
      <c r="A28" s="49" t="s">
        <v>142</v>
      </c>
      <c r="B28" s="296">
        <v>20</v>
      </c>
      <c r="C28" s="52"/>
      <c r="D28" s="6"/>
    </row>
    <row r="29" spans="1:15">
      <c r="A29" s="49"/>
      <c r="B29" s="40"/>
      <c r="C29" s="52"/>
      <c r="D29" s="6"/>
    </row>
    <row r="30" spans="1:15">
      <c r="A30" s="325" t="s">
        <v>155</v>
      </c>
      <c r="B30" s="40"/>
      <c r="C30" s="52"/>
      <c r="D30" s="6"/>
      <c r="H30" s="314" t="s">
        <v>154</v>
      </c>
    </row>
    <row r="31" spans="1:15">
      <c r="A31" s="50"/>
      <c r="B31" s="40"/>
      <c r="C31" s="52"/>
    </row>
    <row r="32" spans="1:15">
      <c r="A32" s="1"/>
      <c r="B32" s="24"/>
      <c r="C32" s="1"/>
    </row>
    <row r="33" spans="1:3">
      <c r="A33" s="1"/>
      <c r="B33" s="1"/>
      <c r="C33" s="1"/>
    </row>
    <row r="34" spans="1:3">
      <c r="A34" s="1"/>
      <c r="B34" s="1"/>
      <c r="C34" s="1"/>
    </row>
  </sheetData>
  <phoneticPr fontId="23" type="noConversion"/>
  <printOptions gridLines="1"/>
  <pageMargins left="0.75" right="0.75" top="1" bottom="1" header="0.5" footer="0.5"/>
  <pageSetup scale="77" orientation="landscape" horizontalDpi="4294967294" verticalDpi="20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37"/>
  <sheetViews>
    <sheetView zoomScale="80" zoomScaleNormal="80" workbookViewId="0">
      <selection activeCell="Q15" sqref="Q15:S15"/>
    </sheetView>
  </sheetViews>
  <sheetFormatPr defaultColWidth="8.88671875" defaultRowHeight="13.2"/>
  <cols>
    <col min="1" max="1" width="42" customWidth="1"/>
    <col min="2" max="16" width="7.6640625" style="408" customWidth="1"/>
    <col min="17" max="17" width="10" style="3" bestFit="1" customWidth="1"/>
    <col min="18" max="18" width="7.44140625" style="3" customWidth="1"/>
    <col min="19" max="19" width="8.88671875" style="3" customWidth="1"/>
  </cols>
  <sheetData>
    <row r="1" spans="1:22" ht="17.399999999999999">
      <c r="A1" s="479" t="s">
        <v>229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31"/>
      <c r="R1" s="32"/>
      <c r="S1" s="31"/>
    </row>
    <row r="2" spans="1:22" ht="21">
      <c r="A2" s="245" t="s">
        <v>46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6"/>
      <c r="M2" s="405"/>
      <c r="N2" s="407"/>
      <c r="O2" s="405"/>
      <c r="P2" s="405"/>
      <c r="Q2" s="43"/>
      <c r="R2" s="174"/>
      <c r="S2" s="43"/>
      <c r="T2" s="314"/>
    </row>
    <row r="3" spans="1:22" s="3" customFormat="1">
      <c r="A3" s="16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44" t="s">
        <v>76</v>
      </c>
      <c r="R3" s="44" t="s">
        <v>54</v>
      </c>
      <c r="S3" s="46" t="s">
        <v>28</v>
      </c>
      <c r="T3" s="372"/>
      <c r="U3" s="372"/>
      <c r="V3" s="373"/>
    </row>
    <row r="4" spans="1:22" ht="14.4">
      <c r="A4" s="319" t="s">
        <v>190</v>
      </c>
      <c r="B4" s="438">
        <v>34.5</v>
      </c>
      <c r="C4" s="439">
        <v>39</v>
      </c>
      <c r="D4" s="439">
        <v>46.5</v>
      </c>
      <c r="E4" s="439">
        <v>30</v>
      </c>
      <c r="F4" s="439">
        <v>42</v>
      </c>
      <c r="G4" s="439">
        <v>39</v>
      </c>
      <c r="H4" s="439">
        <v>35</v>
      </c>
      <c r="I4" s="439">
        <v>40.5</v>
      </c>
      <c r="J4" s="439"/>
      <c r="K4" s="439"/>
      <c r="L4" s="439"/>
      <c r="M4" s="439"/>
      <c r="N4" s="439"/>
      <c r="O4" s="439"/>
      <c r="P4" s="272"/>
      <c r="Q4" s="371">
        <f>AVERAGE(B4:P4)</f>
        <v>38.3125</v>
      </c>
      <c r="R4" s="324">
        <f>IF(Q4&lt;2.5,2.5,Q4)</f>
        <v>38.3125</v>
      </c>
      <c r="S4" s="47">
        <f t="shared" ref="S4:S10" si="0">RANK(R4,$R$4:$R$16)</f>
        <v>4</v>
      </c>
      <c r="T4" s="374"/>
      <c r="U4" s="374"/>
      <c r="V4" s="375"/>
    </row>
    <row r="5" spans="1:22" ht="14.4">
      <c r="A5" s="319" t="s">
        <v>191</v>
      </c>
      <c r="B5" s="440">
        <v>47.5</v>
      </c>
      <c r="C5" s="441">
        <v>43</v>
      </c>
      <c r="D5" s="441">
        <v>37</v>
      </c>
      <c r="E5" s="441">
        <v>45</v>
      </c>
      <c r="F5" s="441">
        <v>44.5</v>
      </c>
      <c r="G5" s="441">
        <v>36</v>
      </c>
      <c r="H5" s="441">
        <v>36</v>
      </c>
      <c r="I5" s="441">
        <v>40.5</v>
      </c>
      <c r="J5" s="441">
        <v>45</v>
      </c>
      <c r="K5" s="441">
        <v>42</v>
      </c>
      <c r="L5" s="441"/>
      <c r="M5" s="441"/>
      <c r="N5" s="441"/>
      <c r="O5" s="441"/>
      <c r="P5" s="272"/>
      <c r="Q5" s="371">
        <f t="shared" ref="Q5:Q10" si="1">AVERAGE(B5:P5)</f>
        <v>41.65</v>
      </c>
      <c r="R5" s="324">
        <f t="shared" ref="R5:R10" si="2">IF(Q5&lt;2.5,2.5,Q5)</f>
        <v>41.65</v>
      </c>
      <c r="S5" s="47">
        <f t="shared" si="0"/>
        <v>2</v>
      </c>
      <c r="T5" s="374"/>
      <c r="U5" s="374"/>
      <c r="V5" s="375"/>
    </row>
    <row r="6" spans="1:22" ht="14.4">
      <c r="A6" s="319" t="s">
        <v>192</v>
      </c>
      <c r="B6" s="440">
        <v>47</v>
      </c>
      <c r="C6" s="441">
        <v>42</v>
      </c>
      <c r="D6" s="441">
        <v>43.5</v>
      </c>
      <c r="E6" s="441">
        <v>46</v>
      </c>
      <c r="F6" s="441">
        <v>50</v>
      </c>
      <c r="G6" s="441">
        <v>47</v>
      </c>
      <c r="H6" s="441">
        <v>43.5</v>
      </c>
      <c r="I6" s="441">
        <v>47</v>
      </c>
      <c r="J6" s="441">
        <v>45</v>
      </c>
      <c r="K6" s="441">
        <v>45.5</v>
      </c>
      <c r="L6" s="441">
        <v>48.2</v>
      </c>
      <c r="M6" s="441">
        <v>44.5</v>
      </c>
      <c r="N6" s="441"/>
      <c r="O6" s="441"/>
      <c r="P6" s="272"/>
      <c r="Q6" s="371">
        <f t="shared" si="1"/>
        <v>45.766666666666673</v>
      </c>
      <c r="R6" s="324">
        <f t="shared" si="2"/>
        <v>45.766666666666673</v>
      </c>
      <c r="S6" s="47">
        <f t="shared" si="0"/>
        <v>1</v>
      </c>
      <c r="T6" s="374"/>
      <c r="U6" s="374"/>
      <c r="V6" s="375"/>
    </row>
    <row r="7" spans="1:22" s="206" customFormat="1" ht="14.4">
      <c r="A7" s="432" t="s">
        <v>213</v>
      </c>
      <c r="B7" s="440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272"/>
      <c r="Q7" s="371"/>
      <c r="R7" s="324"/>
      <c r="S7" s="47"/>
      <c r="T7" s="374"/>
      <c r="U7" s="374"/>
      <c r="V7" s="375"/>
    </row>
    <row r="8" spans="1:22" ht="14.4">
      <c r="A8" s="319" t="s">
        <v>193</v>
      </c>
      <c r="B8" s="440">
        <v>38</v>
      </c>
      <c r="C8" s="441">
        <v>38.5</v>
      </c>
      <c r="D8" s="441">
        <v>34.5</v>
      </c>
      <c r="E8" s="441">
        <v>44</v>
      </c>
      <c r="F8" s="441">
        <v>43</v>
      </c>
      <c r="G8" s="441">
        <v>25</v>
      </c>
      <c r="H8" s="441">
        <v>37</v>
      </c>
      <c r="I8" s="441">
        <v>45</v>
      </c>
      <c r="J8" s="441"/>
      <c r="K8" s="441"/>
      <c r="L8" s="441"/>
      <c r="M8" s="441"/>
      <c r="N8" s="441"/>
      <c r="O8" s="441"/>
      <c r="P8" s="272"/>
      <c r="Q8" s="371">
        <f t="shared" si="1"/>
        <v>38.125</v>
      </c>
      <c r="R8" s="324">
        <f t="shared" si="2"/>
        <v>38.125</v>
      </c>
      <c r="S8" s="47">
        <f t="shared" si="0"/>
        <v>5</v>
      </c>
      <c r="T8" s="374"/>
      <c r="U8" s="374"/>
      <c r="V8" s="375"/>
    </row>
    <row r="9" spans="1:22" ht="14.4">
      <c r="A9" s="319" t="s">
        <v>194</v>
      </c>
      <c r="B9" s="440">
        <v>29</v>
      </c>
      <c r="C9" s="441">
        <v>30.5</v>
      </c>
      <c r="D9" s="441">
        <v>29</v>
      </c>
      <c r="E9" s="441">
        <v>32</v>
      </c>
      <c r="F9" s="441">
        <v>32.5</v>
      </c>
      <c r="G9" s="441"/>
      <c r="H9" s="441"/>
      <c r="I9" s="441"/>
      <c r="J9" s="441"/>
      <c r="K9" s="441"/>
      <c r="L9" s="441"/>
      <c r="M9" s="441"/>
      <c r="N9" s="441"/>
      <c r="O9" s="441"/>
      <c r="P9" s="272"/>
      <c r="Q9" s="371">
        <f t="shared" si="1"/>
        <v>30.6</v>
      </c>
      <c r="R9" s="324">
        <f t="shared" si="2"/>
        <v>30.6</v>
      </c>
      <c r="S9" s="47">
        <f t="shared" si="0"/>
        <v>9</v>
      </c>
      <c r="T9" s="374"/>
      <c r="U9" s="374"/>
      <c r="V9" s="375"/>
    </row>
    <row r="10" spans="1:22" ht="14.4">
      <c r="A10" s="383" t="s">
        <v>195</v>
      </c>
      <c r="B10" s="440">
        <v>34</v>
      </c>
      <c r="C10" s="441">
        <v>37</v>
      </c>
      <c r="D10" s="441">
        <v>28</v>
      </c>
      <c r="E10" s="441">
        <v>39.5</v>
      </c>
      <c r="F10" s="441">
        <v>39.5</v>
      </c>
      <c r="G10" s="441">
        <v>43</v>
      </c>
      <c r="H10" s="441">
        <v>34</v>
      </c>
      <c r="I10" s="441">
        <v>34</v>
      </c>
      <c r="J10" s="441">
        <v>45</v>
      </c>
      <c r="K10" s="441">
        <v>44.5</v>
      </c>
      <c r="L10" s="441">
        <v>39</v>
      </c>
      <c r="M10" s="441">
        <v>30</v>
      </c>
      <c r="N10" s="441">
        <v>28</v>
      </c>
      <c r="O10" s="441">
        <v>28</v>
      </c>
      <c r="P10" s="272"/>
      <c r="Q10" s="371">
        <f t="shared" si="1"/>
        <v>35.964285714285715</v>
      </c>
      <c r="R10" s="324">
        <f t="shared" si="2"/>
        <v>35.964285714285715</v>
      </c>
      <c r="S10" s="47">
        <f t="shared" si="0"/>
        <v>8</v>
      </c>
      <c r="T10" s="374"/>
      <c r="U10" s="374"/>
      <c r="V10" s="375"/>
    </row>
    <row r="11" spans="1:22" ht="14.4">
      <c r="A11" s="319" t="s">
        <v>196</v>
      </c>
      <c r="B11" s="440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272"/>
      <c r="Q11" s="371"/>
      <c r="R11" s="324"/>
      <c r="S11" s="47"/>
      <c r="T11" s="374"/>
      <c r="U11" s="374"/>
      <c r="V11" s="375"/>
    </row>
    <row r="12" spans="1:22" ht="14.4">
      <c r="A12" s="319" t="s">
        <v>197</v>
      </c>
      <c r="B12" s="440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272"/>
      <c r="Q12" s="371"/>
      <c r="R12" s="324"/>
      <c r="S12" s="47"/>
      <c r="T12" s="374"/>
      <c r="U12" s="374"/>
      <c r="V12" s="375"/>
    </row>
    <row r="13" spans="1:22" ht="14.4">
      <c r="A13" s="319" t="s">
        <v>198</v>
      </c>
      <c r="B13" s="440">
        <v>44.5</v>
      </c>
      <c r="C13" s="441">
        <v>39</v>
      </c>
      <c r="D13" s="441">
        <v>40.5</v>
      </c>
      <c r="E13" s="441">
        <v>37</v>
      </c>
      <c r="F13" s="441">
        <v>35</v>
      </c>
      <c r="G13" s="441">
        <v>39</v>
      </c>
      <c r="H13" s="441">
        <v>44</v>
      </c>
      <c r="I13" s="441">
        <v>30</v>
      </c>
      <c r="J13" s="441">
        <v>40</v>
      </c>
      <c r="K13" s="441">
        <v>29.5</v>
      </c>
      <c r="L13" s="441">
        <v>35</v>
      </c>
      <c r="M13" s="441"/>
      <c r="N13" s="441"/>
      <c r="O13" s="441"/>
      <c r="P13" s="272"/>
      <c r="Q13" s="371">
        <f t="shared" ref="Q13:Q16" si="3">AVERAGE(B13:P13)</f>
        <v>37.590909090909093</v>
      </c>
      <c r="R13" s="324">
        <f t="shared" ref="R13:R16" si="4">IF(Q13&lt;2.5,2.5,Q13)</f>
        <v>37.590909090909093</v>
      </c>
      <c r="S13" s="47">
        <f t="shared" ref="S13:S16" si="5">RANK(R13,$R$4:$R$16)</f>
        <v>7</v>
      </c>
      <c r="T13" s="374"/>
      <c r="U13" s="374"/>
      <c r="V13" s="375"/>
    </row>
    <row r="14" spans="1:22" ht="14.4">
      <c r="A14" s="429" t="s">
        <v>199</v>
      </c>
      <c r="B14" s="440">
        <v>48.5</v>
      </c>
      <c r="C14" s="441">
        <v>42</v>
      </c>
      <c r="D14" s="441">
        <v>37.5</v>
      </c>
      <c r="E14" s="441">
        <v>45</v>
      </c>
      <c r="F14" s="441">
        <v>39.700000000000003</v>
      </c>
      <c r="G14" s="441">
        <v>40</v>
      </c>
      <c r="H14" s="441">
        <v>29</v>
      </c>
      <c r="I14" s="441">
        <v>44.5</v>
      </c>
      <c r="J14" s="441">
        <v>31</v>
      </c>
      <c r="K14" s="441">
        <v>38</v>
      </c>
      <c r="L14" s="441">
        <v>50</v>
      </c>
      <c r="M14" s="441"/>
      <c r="N14" s="441"/>
      <c r="O14" s="441"/>
      <c r="P14" s="272"/>
      <c r="Q14" s="371">
        <f t="shared" si="3"/>
        <v>40.472727272727269</v>
      </c>
      <c r="R14" s="324">
        <f t="shared" si="4"/>
        <v>40.472727272727269</v>
      </c>
      <c r="S14" s="47">
        <f t="shared" si="5"/>
        <v>3</v>
      </c>
      <c r="T14" s="374"/>
      <c r="U14" s="374"/>
      <c r="V14" s="375"/>
    </row>
    <row r="15" spans="1:22" ht="14.4">
      <c r="A15" s="435" t="s">
        <v>216</v>
      </c>
      <c r="B15" s="440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272"/>
      <c r="Q15" s="371"/>
      <c r="R15" s="324"/>
      <c r="S15" s="47"/>
      <c r="T15" s="374"/>
      <c r="U15" s="374"/>
      <c r="V15" s="375"/>
    </row>
    <row r="16" spans="1:22" ht="14.4">
      <c r="A16" s="429" t="s">
        <v>200</v>
      </c>
      <c r="B16" s="440">
        <v>34</v>
      </c>
      <c r="C16" s="441">
        <v>48</v>
      </c>
      <c r="D16" s="441">
        <v>50</v>
      </c>
      <c r="E16" s="441">
        <v>44</v>
      </c>
      <c r="F16" s="441">
        <v>40</v>
      </c>
      <c r="G16" s="441">
        <v>34</v>
      </c>
      <c r="H16" s="441">
        <v>37</v>
      </c>
      <c r="I16" s="441">
        <v>37</v>
      </c>
      <c r="J16" s="441">
        <v>33</v>
      </c>
      <c r="K16" s="441">
        <v>42</v>
      </c>
      <c r="L16" s="441">
        <v>29</v>
      </c>
      <c r="M16" s="441">
        <v>30.5</v>
      </c>
      <c r="N16" s="441">
        <v>35</v>
      </c>
      <c r="O16" s="441"/>
      <c r="P16" s="272"/>
      <c r="Q16" s="371">
        <f t="shared" si="3"/>
        <v>37.96153846153846</v>
      </c>
      <c r="R16" s="324">
        <f t="shared" si="4"/>
        <v>37.96153846153846</v>
      </c>
      <c r="S16" s="47">
        <f t="shared" si="5"/>
        <v>6</v>
      </c>
    </row>
    <row r="17" spans="2:19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404"/>
      <c r="M17" s="404"/>
      <c r="N17" s="404"/>
      <c r="O17" s="404"/>
      <c r="P17" s="404"/>
      <c r="Q17" s="42"/>
      <c r="R17" s="42"/>
      <c r="S17" s="42"/>
    </row>
    <row r="18" spans="2:19">
      <c r="R18" s="314" t="s">
        <v>157</v>
      </c>
    </row>
    <row r="20" spans="2:19">
      <c r="B20" s="315" t="s">
        <v>46</v>
      </c>
    </row>
    <row r="29" spans="2:19">
      <c r="B29" s="409"/>
      <c r="C29" s="409"/>
      <c r="D29" s="409"/>
      <c r="E29" s="409"/>
      <c r="F29" s="409"/>
      <c r="G29" s="409"/>
      <c r="H29" s="409"/>
      <c r="I29" s="409"/>
      <c r="J29" s="409"/>
      <c r="K29" s="409"/>
    </row>
    <row r="37" spans="2:11">
      <c r="B37" s="409"/>
      <c r="C37" s="409"/>
      <c r="D37" s="409"/>
      <c r="E37" s="409"/>
      <c r="F37" s="409"/>
      <c r="G37" s="409"/>
      <c r="H37" s="409"/>
      <c r="I37" s="409"/>
      <c r="J37" s="409"/>
      <c r="K37" s="409"/>
    </row>
  </sheetData>
  <phoneticPr fontId="23" type="noConversion"/>
  <printOptions gridLines="1"/>
  <pageMargins left="0.75" right="0.75" top="1" bottom="1" header="0.5" footer="0.5"/>
  <pageSetup scale="7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24"/>
  <sheetViews>
    <sheetView topLeftCell="A7" zoomScale="90" zoomScaleNormal="90" workbookViewId="0">
      <selection activeCell="F21" sqref="F21"/>
    </sheetView>
  </sheetViews>
  <sheetFormatPr defaultColWidth="8.88671875" defaultRowHeight="13.2"/>
  <cols>
    <col min="1" max="1" width="39.6640625" customWidth="1"/>
    <col min="2" max="2" width="15.21875" customWidth="1"/>
    <col min="3" max="3" width="13.88671875" style="370" bestFit="1" customWidth="1"/>
    <col min="4" max="4" width="10.109375" customWidth="1"/>
    <col min="5" max="5" width="12.44140625" customWidth="1"/>
    <col min="7" max="7" width="10.88671875" style="41" customWidth="1"/>
    <col min="8" max="8" width="8.88671875" style="3"/>
    <col min="9" max="9" width="41.88671875" customWidth="1"/>
  </cols>
  <sheetData>
    <row r="1" spans="1:16" ht="45">
      <c r="A1" s="7" t="s">
        <v>205</v>
      </c>
      <c r="E1" s="190"/>
      <c r="F1" s="190"/>
    </row>
    <row r="2" spans="1:16" ht="17.399999999999999">
      <c r="A2" s="7"/>
      <c r="B2" s="7"/>
      <c r="C2" s="446"/>
      <c r="D2" s="6" t="s">
        <v>0</v>
      </c>
      <c r="E2" s="126">
        <f>MAX(C10:C22)</f>
        <v>6.94</v>
      </c>
      <c r="F2" s="6" t="s">
        <v>11</v>
      </c>
      <c r="G2" s="443" t="s">
        <v>29</v>
      </c>
      <c r="I2" s="62"/>
    </row>
    <row r="3" spans="1:16">
      <c r="A3" s="6"/>
      <c r="B3" s="6"/>
      <c r="C3" s="67"/>
      <c r="D3" s="6" t="s">
        <v>1</v>
      </c>
      <c r="E3" s="126">
        <f>MIN(C10:C22)</f>
        <v>3.18</v>
      </c>
      <c r="F3" s="6" t="s">
        <v>11</v>
      </c>
      <c r="G3" s="443" t="s">
        <v>30</v>
      </c>
      <c r="I3" s="62"/>
    </row>
    <row r="4" spans="1:16">
      <c r="A4" s="10"/>
      <c r="B4" s="10"/>
      <c r="C4" s="447"/>
      <c r="D4" s="6" t="s">
        <v>13</v>
      </c>
      <c r="E4" s="252">
        <v>91.2</v>
      </c>
      <c r="F4" s="6" t="s">
        <v>12</v>
      </c>
      <c r="G4" s="443" t="s">
        <v>31</v>
      </c>
      <c r="I4" s="62"/>
    </row>
    <row r="5" spans="1:16">
      <c r="A5" s="10"/>
      <c r="B5" s="10"/>
      <c r="C5" s="447"/>
      <c r="D5" s="6" t="s">
        <v>143</v>
      </c>
      <c r="E5" s="252"/>
      <c r="F5" s="6"/>
      <c r="G5" s="443"/>
      <c r="I5" s="62"/>
    </row>
    <row r="6" spans="1:16">
      <c r="A6" s="10"/>
      <c r="B6" s="10"/>
      <c r="C6" s="447"/>
      <c r="D6" s="6" t="s">
        <v>144</v>
      </c>
      <c r="E6" s="252">
        <f>100/(E2-E3)</f>
        <v>26.595744680851062</v>
      </c>
      <c r="F6" s="6"/>
      <c r="G6" s="443"/>
      <c r="I6" s="62"/>
    </row>
    <row r="7" spans="1:16">
      <c r="A7" s="10"/>
      <c r="B7" s="10"/>
      <c r="C7" s="447"/>
      <c r="D7" s="6" t="s">
        <v>145</v>
      </c>
      <c r="E7" s="252">
        <f>(E6*E2)</f>
        <v>184.57446808510639</v>
      </c>
      <c r="F7" s="6"/>
      <c r="G7" s="443"/>
      <c r="I7" s="62"/>
    </row>
    <row r="8" spans="1:16">
      <c r="A8" s="12"/>
      <c r="B8" s="12"/>
      <c r="C8" s="126"/>
      <c r="D8" s="12"/>
      <c r="E8" s="6"/>
      <c r="F8" s="6"/>
      <c r="H8" s="18"/>
      <c r="I8" s="63"/>
      <c r="J8" s="63"/>
    </row>
    <row r="9" spans="1:16" ht="39.6">
      <c r="A9" s="11"/>
      <c r="B9" s="39" t="s">
        <v>40</v>
      </c>
      <c r="C9" s="448" t="s">
        <v>52</v>
      </c>
      <c r="D9" s="39" t="s">
        <v>10</v>
      </c>
      <c r="E9" s="36" t="s">
        <v>148</v>
      </c>
      <c r="F9" s="36" t="s">
        <v>28</v>
      </c>
      <c r="G9" s="158" t="s">
        <v>68</v>
      </c>
      <c r="H9" s="2" t="s">
        <v>160</v>
      </c>
      <c r="I9" s="39"/>
      <c r="J9" s="36"/>
      <c r="L9" s="157" t="s">
        <v>46</v>
      </c>
    </row>
    <row r="10" spans="1:16" ht="14.4">
      <c r="A10" s="319" t="s">
        <v>190</v>
      </c>
      <c r="B10" s="359" t="s">
        <v>220</v>
      </c>
      <c r="C10" s="401">
        <v>4.37</v>
      </c>
      <c r="D10" s="249">
        <f t="shared" ref="D10:D16" si="0">+G10/C10</f>
        <v>20.869565217391305</v>
      </c>
      <c r="E10" s="17">
        <f t="shared" ref="E10:E22" si="1">100-($E$6*C10)+$E$7</f>
        <v>168.35106382978722</v>
      </c>
      <c r="F10" s="315">
        <f t="shared" ref="F10:F20" si="2">RANK($E10,$E$10:$E$22)</f>
        <v>5</v>
      </c>
      <c r="G10" s="354">
        <v>91.2</v>
      </c>
      <c r="H10" s="317"/>
      <c r="I10" s="445"/>
      <c r="J10" s="6"/>
      <c r="L10" s="53" t="s">
        <v>46</v>
      </c>
      <c r="M10" s="65"/>
      <c r="N10" s="65"/>
      <c r="O10" s="65"/>
      <c r="P10" s="65"/>
    </row>
    <row r="11" spans="1:16" ht="14.4">
      <c r="A11" s="319" t="s">
        <v>191</v>
      </c>
      <c r="B11" s="359" t="s">
        <v>220</v>
      </c>
      <c r="C11" s="401">
        <v>6.22</v>
      </c>
      <c r="D11" s="249">
        <f t="shared" si="0"/>
        <v>14.662379421221866</v>
      </c>
      <c r="E11" s="17">
        <f t="shared" si="1"/>
        <v>119.14893617021278</v>
      </c>
      <c r="F11" s="315">
        <f t="shared" si="2"/>
        <v>8</v>
      </c>
      <c r="G11" s="354">
        <v>91.2</v>
      </c>
      <c r="H11" s="317"/>
      <c r="I11" s="445"/>
      <c r="J11" s="6"/>
      <c r="L11" s="53"/>
      <c r="M11" s="65"/>
      <c r="N11" s="65"/>
      <c r="O11" s="65"/>
      <c r="P11" s="65"/>
    </row>
    <row r="12" spans="1:16" ht="14.4">
      <c r="A12" s="319" t="s">
        <v>192</v>
      </c>
      <c r="B12" s="359" t="s">
        <v>220</v>
      </c>
      <c r="C12" s="401">
        <v>4.82</v>
      </c>
      <c r="D12" s="249">
        <f t="shared" si="0"/>
        <v>18.921161825726141</v>
      </c>
      <c r="E12" s="17">
        <f t="shared" si="1"/>
        <v>156.38297872340425</v>
      </c>
      <c r="F12" s="315">
        <f t="shared" si="2"/>
        <v>6</v>
      </c>
      <c r="G12" s="354">
        <v>91.2</v>
      </c>
      <c r="H12" s="317"/>
      <c r="I12" s="445"/>
      <c r="J12" s="6"/>
      <c r="L12" s="53"/>
      <c r="M12" s="65"/>
      <c r="N12" s="65"/>
      <c r="O12" s="65"/>
      <c r="P12" s="65"/>
    </row>
    <row r="13" spans="1:16" s="206" customFormat="1" ht="14.4">
      <c r="A13" s="432" t="s">
        <v>213</v>
      </c>
      <c r="B13" s="359"/>
      <c r="C13" s="442" t="s">
        <v>218</v>
      </c>
      <c r="D13" s="249"/>
      <c r="E13" s="17"/>
      <c r="F13" s="315"/>
      <c r="G13" s="444" t="s">
        <v>218</v>
      </c>
      <c r="H13" s="317"/>
      <c r="I13" s="445"/>
      <c r="J13" s="210"/>
      <c r="L13" s="209"/>
    </row>
    <row r="14" spans="1:16" s="206" customFormat="1" ht="14.4">
      <c r="A14" s="319" t="s">
        <v>193</v>
      </c>
      <c r="B14" s="359" t="s">
        <v>220</v>
      </c>
      <c r="C14" s="401">
        <v>4.3</v>
      </c>
      <c r="D14" s="249">
        <f t="shared" si="0"/>
        <v>21.209302325581397</v>
      </c>
      <c r="E14" s="17">
        <f t="shared" si="1"/>
        <v>170.21276595744683</v>
      </c>
      <c r="F14" s="315">
        <f t="shared" si="2"/>
        <v>4</v>
      </c>
      <c r="G14" s="354">
        <v>91.2</v>
      </c>
      <c r="H14" s="317"/>
      <c r="I14" s="445"/>
      <c r="J14" s="210"/>
      <c r="L14" s="209" t="s">
        <v>46</v>
      </c>
    </row>
    <row r="15" spans="1:16" ht="14.4">
      <c r="A15" s="319" t="s">
        <v>194</v>
      </c>
      <c r="B15" s="359" t="s">
        <v>220</v>
      </c>
      <c r="C15" s="401">
        <v>6.94</v>
      </c>
      <c r="D15" s="249">
        <f t="shared" si="0"/>
        <v>13.141210374639769</v>
      </c>
      <c r="E15" s="17">
        <f t="shared" si="1"/>
        <v>100</v>
      </c>
      <c r="F15" s="315">
        <f t="shared" si="2"/>
        <v>9</v>
      </c>
      <c r="G15" s="354">
        <v>91.2</v>
      </c>
      <c r="H15" s="317"/>
      <c r="I15" s="445"/>
      <c r="J15" s="6"/>
      <c r="L15" s="53"/>
      <c r="M15" s="65"/>
      <c r="N15" s="65"/>
      <c r="O15" s="65"/>
      <c r="P15" s="65"/>
    </row>
    <row r="16" spans="1:16" ht="15" customHeight="1">
      <c r="A16" s="383" t="s">
        <v>195</v>
      </c>
      <c r="B16" s="359" t="s">
        <v>183</v>
      </c>
      <c r="C16" s="401">
        <v>3.27</v>
      </c>
      <c r="D16" s="249">
        <f t="shared" si="0"/>
        <v>27.889908256880734</v>
      </c>
      <c r="E16" s="17">
        <f t="shared" si="1"/>
        <v>197.60638297872342</v>
      </c>
      <c r="F16" s="315">
        <f t="shared" si="2"/>
        <v>2</v>
      </c>
      <c r="G16" s="354">
        <v>91.2</v>
      </c>
      <c r="H16" s="317"/>
      <c r="I16" s="445"/>
      <c r="J16" s="6"/>
      <c r="L16" s="53" t="s">
        <v>46</v>
      </c>
      <c r="M16" s="65"/>
      <c r="N16" s="65"/>
      <c r="O16" s="65"/>
      <c r="P16" s="65"/>
    </row>
    <row r="17" spans="1:16" ht="14.4">
      <c r="A17" s="319" t="s">
        <v>196</v>
      </c>
      <c r="B17" s="359" t="s">
        <v>220</v>
      </c>
      <c r="C17" s="401" t="s">
        <v>219</v>
      </c>
      <c r="D17" s="249"/>
      <c r="E17" s="17"/>
      <c r="F17" s="315"/>
      <c r="G17" s="354">
        <v>0</v>
      </c>
      <c r="H17" s="317"/>
      <c r="I17" s="445"/>
      <c r="J17" s="6"/>
      <c r="M17" s="65"/>
      <c r="N17" s="65"/>
      <c r="O17" s="65"/>
      <c r="P17" s="65"/>
    </row>
    <row r="18" spans="1:16" ht="14.4">
      <c r="A18" s="319" t="s">
        <v>197</v>
      </c>
      <c r="B18" s="359" t="s">
        <v>220</v>
      </c>
      <c r="C18" s="401" t="s">
        <v>219</v>
      </c>
      <c r="D18" s="249"/>
      <c r="E18" s="17">
        <v>5</v>
      </c>
      <c r="F18" s="315">
        <f t="shared" si="2"/>
        <v>10</v>
      </c>
      <c r="G18" s="354">
        <v>0</v>
      </c>
      <c r="H18" s="315" t="s">
        <v>221</v>
      </c>
      <c r="I18" s="445"/>
      <c r="J18" s="6"/>
      <c r="M18" s="65"/>
      <c r="N18" s="65"/>
      <c r="O18" s="65"/>
      <c r="P18" s="65"/>
    </row>
    <row r="19" spans="1:16" s="161" customFormat="1" ht="14.4">
      <c r="A19" s="319" t="s">
        <v>198</v>
      </c>
      <c r="B19" s="359" t="s">
        <v>183</v>
      </c>
      <c r="C19" s="401">
        <v>3.18</v>
      </c>
      <c r="D19" s="249">
        <f t="shared" ref="D19:D22" si="3">+G19/C19</f>
        <v>28.679245283018869</v>
      </c>
      <c r="E19" s="17">
        <f t="shared" si="1"/>
        <v>200</v>
      </c>
      <c r="F19" s="315">
        <f t="shared" si="2"/>
        <v>1</v>
      </c>
      <c r="G19" s="354">
        <v>91.2</v>
      </c>
      <c r="H19" s="317"/>
      <c r="I19" s="445"/>
      <c r="J19" s="162"/>
    </row>
    <row r="20" spans="1:16" s="161" customFormat="1" ht="14.4">
      <c r="A20" s="429" t="s">
        <v>199</v>
      </c>
      <c r="B20" s="359" t="s">
        <v>220</v>
      </c>
      <c r="C20" s="401">
        <v>5.6</v>
      </c>
      <c r="D20" s="249">
        <f t="shared" si="3"/>
        <v>16.285714285714288</v>
      </c>
      <c r="E20" s="17">
        <f t="shared" si="1"/>
        <v>135.63829787234044</v>
      </c>
      <c r="F20" s="315">
        <f t="shared" si="2"/>
        <v>7</v>
      </c>
      <c r="G20" s="354">
        <v>91.2</v>
      </c>
      <c r="H20" s="317"/>
      <c r="J20" s="162"/>
    </row>
    <row r="21" spans="1:16" s="161" customFormat="1" ht="14.4">
      <c r="A21" s="435" t="s">
        <v>216</v>
      </c>
      <c r="B21" s="359"/>
      <c r="C21" s="442" t="s">
        <v>218</v>
      </c>
      <c r="D21" s="249"/>
      <c r="E21" s="17"/>
      <c r="F21" s="315"/>
      <c r="G21" s="444" t="s">
        <v>218</v>
      </c>
      <c r="H21" s="317"/>
      <c r="I21" s="445"/>
      <c r="J21" s="162"/>
    </row>
    <row r="22" spans="1:16" ht="14.4">
      <c r="A22" s="429" t="s">
        <v>200</v>
      </c>
      <c r="B22" s="359" t="s">
        <v>220</v>
      </c>
      <c r="C22" s="401">
        <v>3.97</v>
      </c>
      <c r="D22" s="249">
        <f t="shared" si="3"/>
        <v>22.972292191435766</v>
      </c>
      <c r="E22" s="17">
        <f t="shared" si="1"/>
        <v>178.98936170212767</v>
      </c>
      <c r="F22" s="315">
        <f>RANK($E22,$E$10:$E$22)</f>
        <v>3</v>
      </c>
      <c r="G22" s="354">
        <v>91.2</v>
      </c>
      <c r="H22" s="317"/>
      <c r="I22" s="445"/>
    </row>
    <row r="23" spans="1:16">
      <c r="A23" s="6"/>
      <c r="B23" s="6"/>
      <c r="C23" s="67"/>
      <c r="D23" s="6"/>
      <c r="E23" s="6"/>
      <c r="F23" s="6"/>
      <c r="G23" s="237"/>
      <c r="H23" s="18"/>
    </row>
    <row r="24" spans="1:16">
      <c r="B24" s="328"/>
      <c r="D24" s="6"/>
    </row>
  </sheetData>
  <phoneticPr fontId="23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53"/>
  <sheetViews>
    <sheetView workbookViewId="0">
      <selection activeCell="H16" sqref="H16"/>
    </sheetView>
  </sheetViews>
  <sheetFormatPr defaultColWidth="8.88671875" defaultRowHeight="13.2"/>
  <cols>
    <col min="1" max="1" width="40.88671875" customWidth="1"/>
    <col min="2" max="2" width="11" customWidth="1"/>
    <col min="3" max="3" width="21.44140625" style="65" customWidth="1"/>
    <col min="4" max="4" width="20" customWidth="1"/>
    <col min="5" max="5" width="16.88671875" customWidth="1"/>
    <col min="6" max="6" width="16.88671875" style="206" customWidth="1"/>
    <col min="7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206</v>
      </c>
      <c r="B1" s="155"/>
      <c r="C1" s="38"/>
      <c r="D1" s="6"/>
      <c r="E1" s="19"/>
      <c r="F1" s="463" t="s">
        <v>146</v>
      </c>
      <c r="G1" s="251"/>
      <c r="H1" s="9"/>
      <c r="I1" s="6"/>
      <c r="J1" s="6"/>
      <c r="K1" s="6"/>
      <c r="L1" s="6"/>
      <c r="M1" s="6"/>
      <c r="N1" s="6"/>
      <c r="O1" s="6"/>
      <c r="P1" s="6"/>
    </row>
    <row r="2" spans="1:16" s="65" customFormat="1">
      <c r="A2" s="38"/>
      <c r="B2" s="169"/>
      <c r="C2" s="17"/>
      <c r="D2" s="9"/>
      <c r="E2" s="19"/>
      <c r="F2" s="463" t="s">
        <v>128</v>
      </c>
      <c r="G2" s="251"/>
      <c r="H2" s="66"/>
      <c r="I2" s="38"/>
      <c r="J2" s="38"/>
      <c r="K2" s="38"/>
      <c r="L2" s="38"/>
      <c r="M2" s="38"/>
      <c r="N2" s="38"/>
      <c r="O2" s="38"/>
      <c r="P2" s="38"/>
    </row>
    <row r="3" spans="1:16">
      <c r="A3" s="10" t="s">
        <v>161</v>
      </c>
      <c r="B3" s="456">
        <v>89</v>
      </c>
      <c r="C3" s="456" t="s">
        <v>171</v>
      </c>
      <c r="D3" s="55"/>
      <c r="E3" s="2" t="s">
        <v>37</v>
      </c>
      <c r="F3" s="2" t="s">
        <v>80</v>
      </c>
      <c r="G3" s="2" t="s">
        <v>81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457" t="s">
        <v>53</v>
      </c>
      <c r="C4" s="2" t="s">
        <v>54</v>
      </c>
      <c r="D4" s="23"/>
      <c r="E4" s="455" t="s">
        <v>83</v>
      </c>
      <c r="F4" s="2" t="s">
        <v>9</v>
      </c>
      <c r="G4" s="464" t="s">
        <v>54</v>
      </c>
      <c r="H4" s="23" t="s">
        <v>28</v>
      </c>
      <c r="I4" s="23"/>
      <c r="J4" s="20"/>
      <c r="K4" s="20"/>
      <c r="L4" s="5"/>
      <c r="M4" s="5"/>
      <c r="N4" s="5"/>
      <c r="O4" s="5"/>
      <c r="P4" s="2"/>
    </row>
    <row r="5" spans="1:16" ht="14.4">
      <c r="A5" s="319" t="s">
        <v>190</v>
      </c>
      <c r="B5" s="460">
        <v>75</v>
      </c>
      <c r="C5" s="458">
        <v>75.2</v>
      </c>
      <c r="D5" s="57"/>
      <c r="E5" s="462">
        <v>4</v>
      </c>
      <c r="F5" s="463">
        <f>-($E$20*E5)+$E$21</f>
        <v>85.714285714285708</v>
      </c>
      <c r="G5" s="463">
        <f>+C5+F5</f>
        <v>160.91428571428571</v>
      </c>
      <c r="H5" s="58">
        <f>RANK(G5, $G$5:$G$17)</f>
        <v>3</v>
      </c>
      <c r="I5" s="30"/>
      <c r="J5" s="18"/>
      <c r="K5" s="57"/>
      <c r="L5" s="18"/>
      <c r="M5" s="18"/>
      <c r="N5" s="3"/>
    </row>
    <row r="6" spans="1:16" ht="14.4">
      <c r="A6" s="319" t="s">
        <v>191</v>
      </c>
      <c r="B6" s="461">
        <v>83</v>
      </c>
      <c r="C6" s="459">
        <v>11.9</v>
      </c>
      <c r="D6" s="57"/>
      <c r="E6" s="462">
        <v>6</v>
      </c>
      <c r="F6" s="463">
        <f t="shared" ref="F6:F17" si="0">-($E$20*E6)+$E$21</f>
        <v>42.857142857142861</v>
      </c>
      <c r="G6" s="463">
        <f t="shared" ref="G6:G17" si="1">+C6+F6</f>
        <v>54.75714285714286</v>
      </c>
      <c r="H6" s="58">
        <f t="shared" ref="H6:H17" si="2">RANK(G6, $G$5:$G$17)</f>
        <v>6</v>
      </c>
      <c r="I6" s="30"/>
      <c r="J6" s="18"/>
      <c r="K6" s="57"/>
      <c r="L6" s="18"/>
      <c r="M6" s="18"/>
      <c r="N6" s="3"/>
    </row>
    <row r="7" spans="1:16" ht="14.4">
      <c r="A7" s="319" t="s">
        <v>192</v>
      </c>
      <c r="B7" s="461">
        <v>78</v>
      </c>
      <c r="C7" s="459">
        <v>37.700000000000003</v>
      </c>
      <c r="D7" s="57"/>
      <c r="E7" s="462">
        <v>3</v>
      </c>
      <c r="F7" s="463">
        <f t="shared" si="0"/>
        <v>107.14285714285714</v>
      </c>
      <c r="G7" s="463">
        <f t="shared" si="1"/>
        <v>144.84285714285716</v>
      </c>
      <c r="H7" s="58">
        <f t="shared" si="2"/>
        <v>4</v>
      </c>
      <c r="I7" s="30"/>
      <c r="J7" s="18"/>
      <c r="K7" s="57"/>
      <c r="L7" s="18"/>
      <c r="M7" s="18"/>
      <c r="N7" s="3"/>
    </row>
    <row r="8" spans="1:16" s="167" customFormat="1" ht="14.4">
      <c r="A8" s="432" t="s">
        <v>213</v>
      </c>
      <c r="B8" s="461" t="s">
        <v>219</v>
      </c>
      <c r="C8" s="459">
        <v>0</v>
      </c>
      <c r="D8" s="57"/>
      <c r="E8" s="462" t="s">
        <v>219</v>
      </c>
      <c r="F8" s="463"/>
      <c r="G8" s="463"/>
      <c r="H8" s="58"/>
      <c r="I8" s="255"/>
      <c r="J8" s="262"/>
      <c r="K8" s="57"/>
      <c r="L8" s="262"/>
      <c r="M8" s="262"/>
      <c r="N8" s="242"/>
    </row>
    <row r="9" spans="1:16" s="167" customFormat="1" ht="14.4">
      <c r="A9" s="319" t="s">
        <v>193</v>
      </c>
      <c r="B9" s="461">
        <v>83</v>
      </c>
      <c r="C9" s="459">
        <v>11.9</v>
      </c>
      <c r="D9" s="57"/>
      <c r="E9" s="462">
        <v>8</v>
      </c>
      <c r="F9" s="463">
        <f t="shared" si="0"/>
        <v>0</v>
      </c>
      <c r="G9" s="463">
        <f t="shared" si="1"/>
        <v>11.9</v>
      </c>
      <c r="H9" s="58">
        <f t="shared" si="2"/>
        <v>8</v>
      </c>
      <c r="I9" s="255"/>
      <c r="J9" s="262"/>
      <c r="K9" s="57"/>
      <c r="L9" s="262"/>
      <c r="M9" s="262"/>
      <c r="N9" s="242"/>
    </row>
    <row r="10" spans="1:16" ht="14.4">
      <c r="A10" s="319" t="s">
        <v>194</v>
      </c>
      <c r="B10" s="461">
        <v>82</v>
      </c>
      <c r="C10" s="459">
        <v>15</v>
      </c>
      <c r="D10" s="57"/>
      <c r="E10" s="462">
        <v>7</v>
      </c>
      <c r="F10" s="463">
        <f t="shared" si="0"/>
        <v>21.428571428571416</v>
      </c>
      <c r="G10" s="463">
        <f t="shared" si="1"/>
        <v>36.428571428571416</v>
      </c>
      <c r="H10" s="58">
        <f t="shared" si="2"/>
        <v>7</v>
      </c>
      <c r="I10" s="30"/>
      <c r="L10" s="18"/>
      <c r="M10" s="18"/>
      <c r="N10" s="3"/>
    </row>
    <row r="11" spans="1:16" ht="14.4">
      <c r="A11" s="383" t="s">
        <v>195</v>
      </c>
      <c r="B11" s="461">
        <v>76</v>
      </c>
      <c r="C11" s="459">
        <v>59.7</v>
      </c>
      <c r="D11" s="57"/>
      <c r="E11" s="462">
        <v>1</v>
      </c>
      <c r="F11" s="463">
        <f t="shared" si="0"/>
        <v>150</v>
      </c>
      <c r="G11" s="463">
        <f t="shared" si="1"/>
        <v>209.7</v>
      </c>
      <c r="H11" s="58">
        <f t="shared" si="2"/>
        <v>2</v>
      </c>
      <c r="I11" s="30"/>
      <c r="L11" s="18"/>
      <c r="M11" s="18"/>
      <c r="N11" s="3"/>
    </row>
    <row r="12" spans="1:16" ht="14.4">
      <c r="A12" s="319" t="s">
        <v>196</v>
      </c>
      <c r="B12" s="461" t="s">
        <v>219</v>
      </c>
      <c r="C12" s="459">
        <v>0</v>
      </c>
      <c r="D12" s="57"/>
      <c r="E12" s="462" t="s">
        <v>219</v>
      </c>
      <c r="F12" s="463"/>
      <c r="G12" s="463"/>
      <c r="H12" s="58"/>
      <c r="I12" s="30"/>
      <c r="J12" s="18"/>
      <c r="K12" s="57"/>
      <c r="L12" s="18"/>
      <c r="M12" s="18"/>
      <c r="N12" s="3"/>
    </row>
    <row r="13" spans="1:16" ht="14.4">
      <c r="A13" s="319" t="s">
        <v>197</v>
      </c>
      <c r="B13" s="461" t="s">
        <v>219</v>
      </c>
      <c r="C13" s="459">
        <v>0</v>
      </c>
      <c r="D13" s="57"/>
      <c r="E13" s="462" t="s">
        <v>219</v>
      </c>
      <c r="F13" s="463"/>
      <c r="G13" s="463"/>
      <c r="H13" s="58"/>
      <c r="I13" s="30"/>
      <c r="J13" s="18"/>
      <c r="K13" s="57"/>
      <c r="L13" s="18"/>
      <c r="M13" s="18"/>
      <c r="N13" s="3"/>
    </row>
    <row r="14" spans="1:16" ht="14.4">
      <c r="A14" s="319" t="s">
        <v>198</v>
      </c>
      <c r="B14" s="461">
        <v>82</v>
      </c>
      <c r="C14" s="459">
        <v>15</v>
      </c>
      <c r="D14" s="57"/>
      <c r="E14" s="462">
        <v>5</v>
      </c>
      <c r="F14" s="463">
        <f t="shared" si="0"/>
        <v>64.285714285714278</v>
      </c>
      <c r="G14" s="463">
        <f t="shared" si="1"/>
        <v>79.285714285714278</v>
      </c>
      <c r="H14" s="58">
        <f t="shared" si="2"/>
        <v>5</v>
      </c>
      <c r="I14" s="30"/>
      <c r="J14" s="18"/>
      <c r="K14" s="57"/>
      <c r="L14" s="18"/>
      <c r="M14" s="18"/>
      <c r="N14" s="3"/>
    </row>
    <row r="15" spans="1:16" ht="14.4">
      <c r="A15" s="429" t="s">
        <v>199</v>
      </c>
      <c r="B15" s="461">
        <v>91</v>
      </c>
      <c r="C15" s="459">
        <v>7.5</v>
      </c>
      <c r="D15" s="57"/>
      <c r="E15" s="462" t="s">
        <v>219</v>
      </c>
      <c r="F15" s="463"/>
      <c r="G15" s="463">
        <f t="shared" si="1"/>
        <v>7.5</v>
      </c>
      <c r="H15" s="58">
        <f t="shared" si="2"/>
        <v>9</v>
      </c>
      <c r="I15" s="30"/>
      <c r="J15" s="18"/>
      <c r="K15" s="57"/>
      <c r="L15" s="18"/>
      <c r="M15" s="18"/>
      <c r="N15" s="3"/>
    </row>
    <row r="16" spans="1:16" s="140" customFormat="1" ht="14.4">
      <c r="A16" s="435" t="s">
        <v>216</v>
      </c>
      <c r="B16" s="461" t="s">
        <v>219</v>
      </c>
      <c r="C16" s="459">
        <v>0</v>
      </c>
      <c r="D16" s="57"/>
      <c r="E16" s="462" t="s">
        <v>219</v>
      </c>
      <c r="F16" s="463"/>
      <c r="G16" s="463"/>
      <c r="H16" s="58"/>
      <c r="I16" s="146"/>
      <c r="J16" s="141"/>
      <c r="K16" s="147"/>
      <c r="L16" s="141"/>
      <c r="M16" s="141"/>
      <c r="N16" s="139"/>
    </row>
    <row r="17" spans="1:12" s="140" customFormat="1" ht="14.4">
      <c r="A17" s="429" t="s">
        <v>200</v>
      </c>
      <c r="B17" s="461">
        <v>72</v>
      </c>
      <c r="C17" s="459">
        <v>150</v>
      </c>
      <c r="D17" s="57"/>
      <c r="E17" s="462">
        <v>1</v>
      </c>
      <c r="F17" s="463">
        <f t="shared" si="0"/>
        <v>150</v>
      </c>
      <c r="G17" s="463">
        <f t="shared" si="1"/>
        <v>300</v>
      </c>
      <c r="H17" s="58">
        <f t="shared" si="2"/>
        <v>1</v>
      </c>
      <c r="I17" s="133"/>
    </row>
    <row r="18" spans="1:12">
      <c r="B18" s="69"/>
      <c r="C18" s="69"/>
      <c r="D18" s="69" t="s">
        <v>163</v>
      </c>
      <c r="E18" s="175">
        <f>MIN(E5:E17)</f>
        <v>1</v>
      </c>
      <c r="F18" s="303"/>
      <c r="G18" s="54"/>
      <c r="H18" s="54"/>
      <c r="I18" s="4"/>
      <c r="J18" s="68"/>
      <c r="K18" s="70"/>
      <c r="L18" s="1"/>
    </row>
    <row r="19" spans="1:12">
      <c r="A19" s="171" t="s">
        <v>170</v>
      </c>
      <c r="B19" s="72">
        <f>MIN(B5,B17)</f>
        <v>72</v>
      </c>
      <c r="C19" s="73"/>
      <c r="D19" s="73" t="s">
        <v>165</v>
      </c>
      <c r="E19" s="175">
        <f>MAX(E5:E17)</f>
        <v>8</v>
      </c>
      <c r="F19" s="300"/>
      <c r="G19" s="73"/>
      <c r="H19" s="74"/>
      <c r="I19" s="4"/>
      <c r="J19" s="1"/>
      <c r="K19" s="1"/>
      <c r="L19" s="1"/>
    </row>
    <row r="20" spans="1:12">
      <c r="A20" s="171" t="s">
        <v>172</v>
      </c>
      <c r="B20" s="353">
        <f>+B3</f>
        <v>89</v>
      </c>
      <c r="C20" s="73"/>
      <c r="D20" s="73" t="s">
        <v>162</v>
      </c>
      <c r="E20" s="73">
        <f>150/(E19-E18)</f>
        <v>21.428571428571427</v>
      </c>
      <c r="F20" s="300"/>
      <c r="G20" s="73"/>
      <c r="H20" s="74"/>
      <c r="I20" s="4"/>
      <c r="J20" s="1"/>
      <c r="K20" s="1"/>
      <c r="L20" s="1"/>
    </row>
    <row r="21" spans="1:12">
      <c r="A21" s="290"/>
      <c r="B21" s="72"/>
      <c r="C21" s="73"/>
      <c r="D21" s="73" t="s">
        <v>164</v>
      </c>
      <c r="E21" s="73">
        <f>E20*E19</f>
        <v>171.42857142857142</v>
      </c>
      <c r="F21" s="300"/>
      <c r="G21" s="73"/>
      <c r="H21" s="74"/>
      <c r="I21" s="4"/>
      <c r="J21" s="1"/>
      <c r="K21" s="1"/>
      <c r="L21" s="1"/>
    </row>
    <row r="22" spans="1:12">
      <c r="A22" s="337"/>
      <c r="B22" s="72"/>
      <c r="C22" s="73"/>
      <c r="D22" s="73"/>
      <c r="E22" s="73"/>
      <c r="F22" s="300"/>
      <c r="G22" s="73"/>
      <c r="H22" s="74"/>
      <c r="I22" s="4"/>
      <c r="J22" s="1"/>
      <c r="K22" s="1"/>
      <c r="L22" s="1"/>
    </row>
    <row r="23" spans="1:12">
      <c r="A23" s="305"/>
      <c r="B23" s="72"/>
      <c r="C23" s="73"/>
      <c r="D23" s="73"/>
      <c r="E23" s="73"/>
      <c r="F23" s="300"/>
      <c r="G23" s="73"/>
      <c r="H23" s="74"/>
      <c r="I23" s="4"/>
      <c r="J23" s="1"/>
      <c r="K23" s="1"/>
      <c r="L23" s="1"/>
    </row>
    <row r="24" spans="1:12">
      <c r="A24" s="305"/>
      <c r="B24" s="72"/>
      <c r="C24" s="73"/>
      <c r="D24" s="73"/>
      <c r="F24" s="300"/>
      <c r="G24" s="73"/>
      <c r="H24" s="74"/>
      <c r="I24" s="4"/>
      <c r="J24" s="1"/>
      <c r="K24" s="1"/>
      <c r="L24" s="1"/>
    </row>
    <row r="25" spans="1:12">
      <c r="A25" s="305"/>
      <c r="B25" s="338" t="s">
        <v>173</v>
      </c>
      <c r="C25" s="73"/>
      <c r="D25" s="73"/>
      <c r="F25" s="300"/>
      <c r="G25" s="73"/>
      <c r="H25" s="74"/>
      <c r="I25" s="4"/>
      <c r="J25" s="1"/>
      <c r="K25" s="1"/>
      <c r="L25" s="1"/>
    </row>
    <row r="26" spans="1:12">
      <c r="A26" s="71"/>
      <c r="B26" s="336" t="s">
        <v>126</v>
      </c>
      <c r="C26" s="330" t="s">
        <v>54</v>
      </c>
      <c r="D26" s="73"/>
      <c r="E26" s="73"/>
      <c r="F26" s="300"/>
      <c r="G26" s="73"/>
      <c r="H26" s="74"/>
      <c r="I26" s="4"/>
      <c r="J26" s="1"/>
      <c r="K26" s="1"/>
      <c r="L26" s="1"/>
    </row>
    <row r="27" spans="1:12">
      <c r="A27" s="331" t="s">
        <v>166</v>
      </c>
      <c r="B27" s="329">
        <f>B19</f>
        <v>72</v>
      </c>
      <c r="C27" s="228">
        <f>10^(($B$27-B27)/10)*150</f>
        <v>150</v>
      </c>
      <c r="D27" s="340" t="s">
        <v>174</v>
      </c>
      <c r="E27" s="73"/>
      <c r="F27" s="300"/>
      <c r="G27" s="73"/>
      <c r="H27" s="74"/>
      <c r="I27" s="4"/>
      <c r="J27" s="1"/>
      <c r="K27" s="1"/>
      <c r="L27" s="1"/>
    </row>
    <row r="28" spans="1:12">
      <c r="A28" s="71"/>
      <c r="B28" s="329">
        <f>B27+0.5</f>
        <v>72.5</v>
      </c>
      <c r="C28" s="228">
        <f t="shared" ref="C28:C43" si="3">10^(($B$27-B28)/10)*150</f>
        <v>133.68764072006181</v>
      </c>
      <c r="D28" s="73"/>
      <c r="E28" s="73"/>
      <c r="F28" s="300"/>
      <c r="G28" s="73"/>
      <c r="H28" s="74"/>
      <c r="I28" s="4"/>
      <c r="J28" s="1"/>
      <c r="K28" s="1"/>
      <c r="L28" s="1"/>
    </row>
    <row r="29" spans="1:12">
      <c r="A29" s="71"/>
      <c r="B29" s="329">
        <f t="shared" ref="B29:B43" si="4">B28+0.5</f>
        <v>73</v>
      </c>
      <c r="C29" s="228">
        <f t="shared" si="3"/>
        <v>119.14923520864222</v>
      </c>
      <c r="D29" s="73"/>
      <c r="E29" s="73"/>
      <c r="F29" s="300"/>
      <c r="G29" s="73"/>
      <c r="H29" s="74"/>
      <c r="I29" s="4"/>
      <c r="J29" s="1"/>
      <c r="K29" s="1"/>
      <c r="L29" s="1"/>
    </row>
    <row r="30" spans="1:12">
      <c r="A30" s="71"/>
      <c r="B30" s="329">
        <f t="shared" si="4"/>
        <v>73.5</v>
      </c>
      <c r="C30" s="228">
        <f t="shared" si="3"/>
        <v>106.19186765762069</v>
      </c>
      <c r="D30" s="73"/>
      <c r="E30" s="73"/>
      <c r="F30" s="300"/>
      <c r="G30" s="73"/>
      <c r="H30" s="74"/>
      <c r="I30" s="4"/>
      <c r="J30" s="1"/>
      <c r="K30" s="1"/>
      <c r="L30" s="1"/>
    </row>
    <row r="31" spans="1:12">
      <c r="A31" s="71"/>
      <c r="B31" s="329">
        <f t="shared" si="4"/>
        <v>74</v>
      </c>
      <c r="C31" s="228">
        <f t="shared" si="3"/>
        <v>94.643601672028993</v>
      </c>
      <c r="D31" s="73"/>
      <c r="E31" s="73"/>
      <c r="F31" s="300"/>
      <c r="G31" s="73"/>
      <c r="H31" s="74"/>
      <c r="I31" s="4"/>
      <c r="J31" s="1"/>
      <c r="K31" s="1"/>
      <c r="L31" s="1"/>
    </row>
    <row r="32" spans="1:12">
      <c r="A32" s="71"/>
      <c r="B32" s="329">
        <f t="shared" si="4"/>
        <v>74.5</v>
      </c>
      <c r="C32" s="228">
        <f t="shared" si="3"/>
        <v>84.351198778552359</v>
      </c>
      <c r="D32" s="73"/>
      <c r="E32" s="73"/>
      <c r="F32" s="300"/>
      <c r="G32" s="73"/>
      <c r="H32" s="74"/>
      <c r="I32" s="4"/>
      <c r="J32" s="1"/>
      <c r="K32" s="1"/>
      <c r="L32" s="1"/>
    </row>
    <row r="33" spans="1:12">
      <c r="A33" s="71"/>
      <c r="B33" s="329">
        <f t="shared" si="4"/>
        <v>75</v>
      </c>
      <c r="C33" s="228">
        <f t="shared" si="3"/>
        <v>75.178085044090835</v>
      </c>
      <c r="D33" s="170"/>
      <c r="E33" s="73"/>
      <c r="F33" s="304"/>
      <c r="G33" s="171"/>
      <c r="H33" s="74"/>
      <c r="I33" s="4"/>
      <c r="J33" s="1"/>
      <c r="K33" s="1"/>
      <c r="L33" s="1"/>
    </row>
    <row r="34" spans="1:12">
      <c r="A34" s="71"/>
      <c r="B34" s="329">
        <f t="shared" si="4"/>
        <v>75.5</v>
      </c>
      <c r="C34" s="228">
        <f t="shared" si="3"/>
        <v>67.002538822644468</v>
      </c>
      <c r="D34" s="73"/>
      <c r="E34" s="73"/>
      <c r="F34" s="300"/>
      <c r="G34" s="73"/>
      <c r="H34" s="74"/>
      <c r="I34" s="4"/>
      <c r="J34" s="1"/>
      <c r="K34" s="1"/>
      <c r="L34" s="1"/>
    </row>
    <row r="35" spans="1:12">
      <c r="A35" s="1"/>
      <c r="B35" s="329">
        <f t="shared" si="4"/>
        <v>76</v>
      </c>
      <c r="C35" s="228">
        <f t="shared" si="3"/>
        <v>59.716075583024583</v>
      </c>
      <c r="D35" s="1"/>
      <c r="E35" s="1"/>
      <c r="F35" s="301"/>
      <c r="G35" s="1"/>
      <c r="H35" s="1"/>
      <c r="I35" s="4"/>
      <c r="J35" s="1"/>
      <c r="K35" s="1"/>
      <c r="L35" s="1"/>
    </row>
    <row r="36" spans="1:12">
      <c r="A36" s="1"/>
      <c r="B36" s="329">
        <f t="shared" si="4"/>
        <v>76.5</v>
      </c>
      <c r="C36" s="228">
        <f t="shared" si="3"/>
        <v>53.222008385036311</v>
      </c>
      <c r="D36" s="4"/>
      <c r="E36" s="4"/>
      <c r="F36" s="302"/>
      <c r="G36" s="4"/>
      <c r="H36" s="4"/>
      <c r="I36" s="4"/>
      <c r="J36" s="1"/>
      <c r="K36" s="1"/>
      <c r="L36" s="1"/>
    </row>
    <row r="37" spans="1:12">
      <c r="B37" s="329">
        <f t="shared" si="4"/>
        <v>77</v>
      </c>
      <c r="C37" s="228">
        <f t="shared" si="3"/>
        <v>47.434164902525694</v>
      </c>
      <c r="D37" s="4"/>
      <c r="E37" s="4"/>
      <c r="F37" s="302"/>
      <c r="G37" s="4"/>
      <c r="H37" s="4"/>
      <c r="I37" s="4"/>
    </row>
    <row r="38" spans="1:12">
      <c r="B38" s="329">
        <f t="shared" si="4"/>
        <v>77.5</v>
      </c>
      <c r="C38" s="228">
        <f t="shared" si="3"/>
        <v>42.2757439689668</v>
      </c>
      <c r="D38" s="4"/>
      <c r="E38" s="4"/>
      <c r="F38" s="302"/>
      <c r="G38" s="4"/>
      <c r="H38" s="4"/>
      <c r="I38" s="4"/>
    </row>
    <row r="39" spans="1:12">
      <c r="B39" s="329">
        <f t="shared" si="4"/>
        <v>78</v>
      </c>
      <c r="C39" s="228">
        <f t="shared" si="3"/>
        <v>37.678296472643702</v>
      </c>
      <c r="D39" s="4"/>
      <c r="E39" s="4"/>
      <c r="F39" s="302"/>
      <c r="G39" s="4"/>
      <c r="H39" s="4"/>
      <c r="I39" s="4"/>
    </row>
    <row r="40" spans="1:12">
      <c r="B40" s="329">
        <f t="shared" si="4"/>
        <v>78.5</v>
      </c>
      <c r="C40" s="228">
        <f t="shared" si="3"/>
        <v>33.580817078525087</v>
      </c>
      <c r="D40" s="4"/>
      <c r="E40" s="4"/>
      <c r="F40" s="302"/>
      <c r="G40" s="4"/>
      <c r="H40" s="4"/>
      <c r="I40" s="4"/>
    </row>
    <row r="41" spans="1:12">
      <c r="B41" s="329">
        <f t="shared" si="4"/>
        <v>79</v>
      </c>
      <c r="C41" s="228">
        <f t="shared" si="3"/>
        <v>29.928934724533192</v>
      </c>
      <c r="D41" s="4"/>
      <c r="E41" s="4"/>
      <c r="F41" s="302"/>
      <c r="G41" s="4"/>
      <c r="H41" s="4"/>
      <c r="I41" s="4"/>
    </row>
    <row r="42" spans="1:12">
      <c r="B42" s="329">
        <f t="shared" si="4"/>
        <v>79.5</v>
      </c>
      <c r="C42" s="228">
        <f t="shared" si="3"/>
        <v>26.674191150583834</v>
      </c>
      <c r="D42" s="4"/>
      <c r="E42" s="4"/>
      <c r="F42" s="302"/>
      <c r="G42" s="4"/>
      <c r="H42" s="4"/>
      <c r="I42" s="4"/>
    </row>
    <row r="43" spans="1:12">
      <c r="A43" s="316" t="s">
        <v>167</v>
      </c>
      <c r="B43" s="329">
        <f t="shared" si="4"/>
        <v>80</v>
      </c>
      <c r="C43" s="228">
        <f t="shared" si="3"/>
        <v>23.773397886916698</v>
      </c>
      <c r="D43" s="339" t="s">
        <v>175</v>
      </c>
      <c r="E43" s="4"/>
      <c r="F43" s="302"/>
      <c r="G43" s="4"/>
      <c r="H43" s="4"/>
      <c r="I43" s="4"/>
    </row>
    <row r="44" spans="1:12">
      <c r="B44" s="329"/>
      <c r="C44" s="318"/>
      <c r="D44" s="4"/>
      <c r="E44" s="4"/>
      <c r="F44" s="302"/>
      <c r="G44" s="4"/>
      <c r="H44" s="4"/>
      <c r="I44" s="4"/>
    </row>
    <row r="45" spans="1:12">
      <c r="B45" s="329"/>
      <c r="C45" s="318"/>
      <c r="D45" s="4"/>
      <c r="E45" s="4"/>
      <c r="F45" s="302"/>
      <c r="G45" s="4"/>
      <c r="H45" s="4"/>
      <c r="I45" s="4"/>
    </row>
    <row r="46" spans="1:12">
      <c r="B46" s="72"/>
      <c r="C46" s="196"/>
      <c r="D46" s="4"/>
      <c r="E46" s="4"/>
      <c r="F46" s="302"/>
      <c r="G46" s="4"/>
      <c r="H46" s="4"/>
      <c r="I46" s="4"/>
    </row>
    <row r="47" spans="1:12">
      <c r="B47" s="72"/>
      <c r="C47" s="196"/>
      <c r="D47" s="4"/>
      <c r="E47" s="4"/>
      <c r="F47" s="302"/>
      <c r="G47" s="4"/>
      <c r="H47" s="4"/>
      <c r="I47" s="4"/>
    </row>
    <row r="48" spans="1:12">
      <c r="B48" s="72"/>
      <c r="C48" s="196"/>
      <c r="D48" s="4"/>
      <c r="E48" s="4"/>
      <c r="F48" s="302"/>
      <c r="G48" s="4"/>
      <c r="H48" s="4"/>
      <c r="I48" s="4"/>
    </row>
    <row r="49" spans="2:9">
      <c r="B49" s="72"/>
      <c r="C49" s="196"/>
      <c r="D49" s="4"/>
      <c r="E49" s="4"/>
      <c r="F49" s="302"/>
      <c r="G49" s="4"/>
      <c r="H49" s="4"/>
      <c r="I49" s="4"/>
    </row>
    <row r="50" spans="2:9">
      <c r="B50" s="72"/>
      <c r="C50" s="196"/>
      <c r="D50" s="4"/>
      <c r="E50" s="4"/>
      <c r="F50" s="302"/>
      <c r="G50" s="4"/>
      <c r="H50" s="4"/>
      <c r="I50" s="4"/>
    </row>
    <row r="51" spans="2:9">
      <c r="B51" s="72"/>
      <c r="C51" s="196"/>
      <c r="D51" s="4"/>
      <c r="E51" s="4"/>
      <c r="F51" s="302"/>
      <c r="G51" s="4"/>
      <c r="H51" s="4"/>
      <c r="I51" s="4"/>
    </row>
    <row r="52" spans="2:9">
      <c r="B52" s="72"/>
    </row>
    <row r="53" spans="2:9">
      <c r="B53" s="72"/>
    </row>
  </sheetData>
  <phoneticPr fontId="23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18"/>
  <sheetViews>
    <sheetView zoomScale="70" zoomScaleNormal="70" workbookViewId="0">
      <selection activeCell="AI4" sqref="AI4"/>
    </sheetView>
  </sheetViews>
  <sheetFormatPr defaultColWidth="8.88671875" defaultRowHeight="13.2"/>
  <cols>
    <col min="1" max="1" width="28.6640625" customWidth="1"/>
    <col min="2" max="2" width="5.6640625" style="3" customWidth="1"/>
    <col min="3" max="18" width="5.6640625" customWidth="1"/>
    <col min="19" max="19" width="6.109375" customWidth="1"/>
    <col min="20" max="36" width="5.6640625" customWidth="1"/>
  </cols>
  <sheetData>
    <row r="1" spans="1:39" ht="17.399999999999999">
      <c r="A1" s="45" t="s">
        <v>207</v>
      </c>
      <c r="B1" s="42"/>
      <c r="C1" s="31"/>
      <c r="D1" s="31"/>
      <c r="E1" s="31"/>
      <c r="F1" s="238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206"/>
      <c r="AL1" s="206"/>
    </row>
    <row r="2" spans="1:39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06"/>
      <c r="AL2" s="206"/>
    </row>
    <row r="3" spans="1:39" s="65" customFormat="1">
      <c r="A3" s="165"/>
      <c r="B3" s="341">
        <v>1</v>
      </c>
      <c r="C3" s="341">
        <v>2</v>
      </c>
      <c r="D3" s="341">
        <v>3</v>
      </c>
      <c r="E3" s="341">
        <v>4</v>
      </c>
      <c r="F3" s="341">
        <v>5</v>
      </c>
      <c r="G3" s="341">
        <v>6</v>
      </c>
      <c r="H3" s="341">
        <v>7</v>
      </c>
      <c r="I3" s="341">
        <v>8</v>
      </c>
      <c r="J3" s="341">
        <v>9</v>
      </c>
      <c r="K3" s="341">
        <v>10</v>
      </c>
      <c r="L3" s="341">
        <v>11</v>
      </c>
      <c r="M3" s="341">
        <v>12</v>
      </c>
      <c r="N3" s="341">
        <v>13</v>
      </c>
      <c r="O3" s="341">
        <v>14</v>
      </c>
      <c r="P3" s="341">
        <v>15</v>
      </c>
      <c r="Q3" s="341">
        <v>16</v>
      </c>
      <c r="R3" s="341">
        <v>17</v>
      </c>
      <c r="S3" s="341">
        <v>18</v>
      </c>
      <c r="T3" s="341">
        <v>19</v>
      </c>
      <c r="U3" s="341">
        <v>20</v>
      </c>
      <c r="V3" s="341">
        <v>21</v>
      </c>
      <c r="W3" s="341">
        <v>22</v>
      </c>
      <c r="X3" s="341">
        <v>23</v>
      </c>
      <c r="Y3" s="341">
        <v>24</v>
      </c>
      <c r="Z3" s="341">
        <v>25</v>
      </c>
      <c r="AA3" s="341">
        <v>26</v>
      </c>
      <c r="AB3" s="341">
        <v>27</v>
      </c>
      <c r="AC3" s="341">
        <v>28</v>
      </c>
      <c r="AD3" s="341">
        <v>29</v>
      </c>
      <c r="AE3" s="341">
        <v>30</v>
      </c>
      <c r="AF3" s="341">
        <v>31</v>
      </c>
      <c r="AG3" s="341">
        <v>32</v>
      </c>
      <c r="AH3" s="341">
        <v>33</v>
      </c>
      <c r="AI3" s="341">
        <v>34</v>
      </c>
      <c r="AJ3" s="341">
        <v>35</v>
      </c>
      <c r="AK3" s="189" t="s">
        <v>76</v>
      </c>
      <c r="AL3" s="189" t="s">
        <v>54</v>
      </c>
      <c r="AM3" s="166" t="s">
        <v>28</v>
      </c>
    </row>
    <row r="4" spans="1:39" s="65" customFormat="1" ht="14.4">
      <c r="A4" s="319" t="s">
        <v>190</v>
      </c>
      <c r="B4" s="402">
        <v>45</v>
      </c>
      <c r="C4" s="342">
        <v>45</v>
      </c>
      <c r="D4" s="342">
        <v>52.5</v>
      </c>
      <c r="E4" s="342">
        <v>70</v>
      </c>
      <c r="F4" s="342">
        <v>59</v>
      </c>
      <c r="G4" s="342">
        <v>82</v>
      </c>
      <c r="H4" s="342">
        <v>65</v>
      </c>
      <c r="I4" s="342">
        <v>55</v>
      </c>
      <c r="J4" s="342">
        <v>75</v>
      </c>
      <c r="K4" s="342">
        <v>65</v>
      </c>
      <c r="L4" s="342">
        <v>67</v>
      </c>
      <c r="M4" s="342">
        <v>45</v>
      </c>
      <c r="N4" s="342">
        <v>67</v>
      </c>
      <c r="O4" s="342">
        <v>57.5</v>
      </c>
      <c r="P4" s="342">
        <v>62.5</v>
      </c>
      <c r="Q4" s="343">
        <v>90</v>
      </c>
      <c r="R4" s="344">
        <v>65</v>
      </c>
      <c r="S4" s="344">
        <v>81</v>
      </c>
      <c r="T4" s="344">
        <v>80</v>
      </c>
      <c r="U4" s="344">
        <v>62</v>
      </c>
      <c r="V4" s="344">
        <v>70</v>
      </c>
      <c r="W4" s="344">
        <v>70</v>
      </c>
      <c r="X4" s="344">
        <v>67.5</v>
      </c>
      <c r="Y4" s="344">
        <v>65</v>
      </c>
      <c r="Z4" s="344">
        <v>68</v>
      </c>
      <c r="AA4" s="344">
        <v>65</v>
      </c>
      <c r="AB4" s="344">
        <v>70</v>
      </c>
      <c r="AC4" s="344">
        <v>77.5</v>
      </c>
      <c r="AD4" s="344">
        <v>71</v>
      </c>
      <c r="AE4" s="344">
        <v>60</v>
      </c>
      <c r="AF4" s="344">
        <v>75</v>
      </c>
      <c r="AG4" s="344">
        <v>70</v>
      </c>
      <c r="AH4" s="344">
        <v>82.5</v>
      </c>
      <c r="AI4" s="344"/>
      <c r="AJ4" s="344"/>
      <c r="AK4" s="332">
        <f t="shared" ref="AK4:AK16" si="0">AVERAGE(B4:AJ4)</f>
        <v>66.727272727272734</v>
      </c>
      <c r="AL4" s="332">
        <f>IF(AK4&lt;5,5,AK4)</f>
        <v>66.727272727272734</v>
      </c>
      <c r="AM4" s="188">
        <f t="shared" ref="AM4:AM14" si="1">RANK(AL4,$AL$4:$AL$16)</f>
        <v>3</v>
      </c>
    </row>
    <row r="5" spans="1:39" s="65" customFormat="1" ht="14.4">
      <c r="A5" s="319" t="s">
        <v>191</v>
      </c>
      <c r="B5" s="449">
        <v>44.5</v>
      </c>
      <c r="C5" s="342">
        <v>67.5</v>
      </c>
      <c r="D5" s="342">
        <v>39.5</v>
      </c>
      <c r="E5" s="342">
        <v>80</v>
      </c>
      <c r="F5" s="342">
        <v>70</v>
      </c>
      <c r="G5" s="342">
        <v>57.5</v>
      </c>
      <c r="H5" s="342">
        <v>37.5</v>
      </c>
      <c r="I5" s="342">
        <v>55</v>
      </c>
      <c r="J5" s="342">
        <v>81</v>
      </c>
      <c r="K5" s="342">
        <v>47</v>
      </c>
      <c r="L5" s="342">
        <v>80</v>
      </c>
      <c r="M5" s="342">
        <v>56.5</v>
      </c>
      <c r="N5" s="342">
        <v>72.5</v>
      </c>
      <c r="O5" s="342">
        <v>75</v>
      </c>
      <c r="P5" s="342">
        <v>67.5</v>
      </c>
      <c r="Q5" s="343">
        <v>80</v>
      </c>
      <c r="R5" s="344">
        <v>70</v>
      </c>
      <c r="S5" s="344">
        <v>77</v>
      </c>
      <c r="T5" s="344">
        <v>85</v>
      </c>
      <c r="U5" s="344">
        <v>75</v>
      </c>
      <c r="V5" s="344">
        <v>80</v>
      </c>
      <c r="W5" s="344">
        <v>55</v>
      </c>
      <c r="X5" s="344">
        <v>47.5</v>
      </c>
      <c r="Y5" s="344">
        <v>37.5</v>
      </c>
      <c r="Z5" s="344">
        <v>56</v>
      </c>
      <c r="AA5" s="344">
        <v>67.5</v>
      </c>
      <c r="AB5" s="344">
        <v>47.5</v>
      </c>
      <c r="AC5" s="344">
        <v>53</v>
      </c>
      <c r="AD5" s="344">
        <v>35</v>
      </c>
      <c r="AE5" s="344">
        <v>42.5</v>
      </c>
      <c r="AF5" s="344">
        <v>75</v>
      </c>
      <c r="AG5" s="344">
        <v>77.5</v>
      </c>
      <c r="AH5" s="344">
        <v>80</v>
      </c>
      <c r="AI5" s="344"/>
      <c r="AJ5" s="344"/>
      <c r="AK5" s="332">
        <f t="shared" si="0"/>
        <v>62.787878787878789</v>
      </c>
      <c r="AL5" s="332">
        <f>IF(AK5&lt;5,5,AK5)</f>
        <v>62.787878787878789</v>
      </c>
      <c r="AM5" s="188">
        <f t="shared" si="1"/>
        <v>5</v>
      </c>
    </row>
    <row r="6" spans="1:39" s="167" customFormat="1" ht="14.4">
      <c r="A6" s="319" t="s">
        <v>192</v>
      </c>
      <c r="B6" s="402">
        <v>56</v>
      </c>
      <c r="C6" s="342">
        <v>91</v>
      </c>
      <c r="D6" s="342">
        <v>70</v>
      </c>
      <c r="E6" s="342">
        <v>80</v>
      </c>
      <c r="F6" s="342">
        <v>63</v>
      </c>
      <c r="G6" s="342">
        <v>60</v>
      </c>
      <c r="H6" s="342">
        <v>67.5</v>
      </c>
      <c r="I6" s="342">
        <v>82.5</v>
      </c>
      <c r="J6" s="342">
        <v>72.5</v>
      </c>
      <c r="K6" s="342">
        <v>77</v>
      </c>
      <c r="L6" s="342">
        <v>57</v>
      </c>
      <c r="M6" s="342">
        <v>82.5</v>
      </c>
      <c r="N6" s="342">
        <v>75</v>
      </c>
      <c r="O6" s="342">
        <v>77.5</v>
      </c>
      <c r="P6" s="342">
        <v>57</v>
      </c>
      <c r="Q6" s="343">
        <v>62.5</v>
      </c>
      <c r="R6" s="344">
        <v>92.5</v>
      </c>
      <c r="S6" s="344">
        <v>80</v>
      </c>
      <c r="T6" s="344">
        <v>73</v>
      </c>
      <c r="U6" s="344">
        <v>80</v>
      </c>
      <c r="V6" s="344">
        <v>74</v>
      </c>
      <c r="W6" s="344">
        <v>75</v>
      </c>
      <c r="X6" s="344">
        <v>60</v>
      </c>
      <c r="Y6" s="344">
        <v>72</v>
      </c>
      <c r="Z6" s="344">
        <v>74</v>
      </c>
      <c r="AA6" s="344">
        <v>76</v>
      </c>
      <c r="AB6" s="344">
        <v>75</v>
      </c>
      <c r="AC6" s="344">
        <v>72.5</v>
      </c>
      <c r="AD6" s="344">
        <v>32.5</v>
      </c>
      <c r="AE6" s="344">
        <v>55</v>
      </c>
      <c r="AF6" s="344">
        <v>67.5</v>
      </c>
      <c r="AG6" s="344">
        <v>82.5</v>
      </c>
      <c r="AH6" s="344">
        <v>85</v>
      </c>
      <c r="AI6" s="344"/>
      <c r="AJ6" s="344"/>
      <c r="AK6" s="332">
        <f t="shared" si="0"/>
        <v>71.439393939393938</v>
      </c>
      <c r="AL6" s="332">
        <f t="shared" ref="AL6:AL16" si="2">IF(AK6&lt;5,5,AK6)</f>
        <v>71.439393939393938</v>
      </c>
      <c r="AM6" s="229">
        <f t="shared" si="1"/>
        <v>2</v>
      </c>
    </row>
    <row r="7" spans="1:39" s="65" customFormat="1" ht="28.8">
      <c r="A7" s="432" t="s">
        <v>213</v>
      </c>
      <c r="B7" s="402"/>
      <c r="C7" s="344"/>
      <c r="D7" s="344"/>
      <c r="E7" s="343"/>
      <c r="F7" s="344"/>
      <c r="G7" s="343"/>
      <c r="H7" s="344"/>
      <c r="I7" s="344"/>
      <c r="J7" s="343"/>
      <c r="K7" s="343"/>
      <c r="L7" s="343"/>
      <c r="M7" s="343"/>
      <c r="N7" s="344"/>
      <c r="O7" s="342"/>
      <c r="P7" s="342"/>
      <c r="Q7" s="343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32"/>
      <c r="AL7" s="332"/>
      <c r="AM7" s="229"/>
    </row>
    <row r="8" spans="1:39" s="65" customFormat="1" ht="14.4">
      <c r="A8" s="319" t="s">
        <v>193</v>
      </c>
      <c r="B8" s="402">
        <v>38</v>
      </c>
      <c r="C8" s="344">
        <v>57</v>
      </c>
      <c r="D8" s="344">
        <v>75</v>
      </c>
      <c r="E8" s="343">
        <v>63</v>
      </c>
      <c r="F8" s="344">
        <v>22.5</v>
      </c>
      <c r="G8" s="343">
        <v>65.5</v>
      </c>
      <c r="H8" s="344">
        <v>62.5</v>
      </c>
      <c r="I8" s="344">
        <v>32.5</v>
      </c>
      <c r="J8" s="343">
        <v>75</v>
      </c>
      <c r="K8" s="343">
        <v>77.5</v>
      </c>
      <c r="L8" s="343">
        <v>70.5</v>
      </c>
      <c r="M8" s="343">
        <v>35.5</v>
      </c>
      <c r="N8" s="344">
        <v>53</v>
      </c>
      <c r="O8" s="344">
        <v>74</v>
      </c>
      <c r="P8" s="344">
        <v>55</v>
      </c>
      <c r="Q8" s="343">
        <v>60</v>
      </c>
      <c r="R8" s="344">
        <v>62.5</v>
      </c>
      <c r="S8" s="344">
        <v>77.5</v>
      </c>
      <c r="T8" s="344">
        <v>65</v>
      </c>
      <c r="U8" s="344">
        <v>50</v>
      </c>
      <c r="V8" s="344">
        <v>72.5</v>
      </c>
      <c r="W8" s="344">
        <v>62.5</v>
      </c>
      <c r="X8" s="344">
        <v>60</v>
      </c>
      <c r="Y8" s="344">
        <v>70</v>
      </c>
      <c r="Z8" s="344">
        <v>65</v>
      </c>
      <c r="AA8" s="344">
        <v>52.5</v>
      </c>
      <c r="AB8" s="344">
        <v>57.5</v>
      </c>
      <c r="AC8" s="344">
        <v>52.5</v>
      </c>
      <c r="AD8" s="344">
        <v>63</v>
      </c>
      <c r="AE8" s="344">
        <v>55</v>
      </c>
      <c r="AF8" s="344">
        <v>60</v>
      </c>
      <c r="AG8" s="344">
        <v>40</v>
      </c>
      <c r="AH8" s="344">
        <v>58</v>
      </c>
      <c r="AI8" s="344">
        <v>55</v>
      </c>
      <c r="AJ8" s="344"/>
      <c r="AK8" s="332">
        <f t="shared" si="0"/>
        <v>58.676470588235297</v>
      </c>
      <c r="AL8" s="332">
        <f t="shared" si="2"/>
        <v>58.676470588235297</v>
      </c>
      <c r="AM8" s="229">
        <f t="shared" si="1"/>
        <v>7</v>
      </c>
    </row>
    <row r="9" spans="1:39" s="273" customFormat="1" ht="14.4">
      <c r="A9" s="319" t="s">
        <v>194</v>
      </c>
      <c r="B9" s="402">
        <v>50</v>
      </c>
      <c r="C9" s="344">
        <v>55</v>
      </c>
      <c r="D9" s="344">
        <v>70</v>
      </c>
      <c r="E9" s="343">
        <v>62</v>
      </c>
      <c r="F9" s="344">
        <v>30</v>
      </c>
      <c r="G9" s="343">
        <v>45.5</v>
      </c>
      <c r="H9" s="272">
        <v>57.5</v>
      </c>
      <c r="I9" s="344">
        <v>45</v>
      </c>
      <c r="J9" s="343">
        <v>47.5</v>
      </c>
      <c r="K9" s="343">
        <v>27.5</v>
      </c>
      <c r="L9" s="343">
        <v>77.5</v>
      </c>
      <c r="M9" s="343">
        <v>60</v>
      </c>
      <c r="N9" s="344">
        <v>57.5</v>
      </c>
      <c r="O9" s="344">
        <v>55</v>
      </c>
      <c r="P9" s="344">
        <v>63</v>
      </c>
      <c r="Q9" s="343">
        <v>60</v>
      </c>
      <c r="R9" s="344">
        <v>40</v>
      </c>
      <c r="S9" s="344">
        <v>77</v>
      </c>
      <c r="T9" s="344">
        <v>53</v>
      </c>
      <c r="U9" s="344">
        <v>57.5</v>
      </c>
      <c r="V9" s="344">
        <v>42.5</v>
      </c>
      <c r="W9" s="344">
        <v>52.5</v>
      </c>
      <c r="X9" s="344">
        <v>63</v>
      </c>
      <c r="Y9" s="344">
        <v>80</v>
      </c>
      <c r="Z9" s="344">
        <v>65</v>
      </c>
      <c r="AA9" s="344">
        <v>42.5</v>
      </c>
      <c r="AB9" s="344">
        <v>50</v>
      </c>
      <c r="AC9" s="344">
        <v>55</v>
      </c>
      <c r="AD9" s="344">
        <v>45</v>
      </c>
      <c r="AE9" s="344">
        <v>54</v>
      </c>
      <c r="AF9" s="344">
        <v>47</v>
      </c>
      <c r="AG9" s="344">
        <v>45</v>
      </c>
      <c r="AH9" s="344">
        <v>32.5</v>
      </c>
      <c r="AI9" s="344">
        <v>51</v>
      </c>
      <c r="AJ9" s="344">
        <v>42</v>
      </c>
      <c r="AK9" s="332">
        <f t="shared" si="0"/>
        <v>53.071428571428569</v>
      </c>
      <c r="AL9" s="332">
        <f t="shared" si="2"/>
        <v>53.071428571428569</v>
      </c>
      <c r="AM9" s="229">
        <f t="shared" si="1"/>
        <v>9</v>
      </c>
    </row>
    <row r="10" spans="1:39" s="65" customFormat="1" ht="18.75" customHeight="1">
      <c r="A10" s="383" t="s">
        <v>195</v>
      </c>
      <c r="B10" s="449">
        <v>75</v>
      </c>
      <c r="C10" s="344">
        <v>67.5</v>
      </c>
      <c r="D10" s="344">
        <v>55</v>
      </c>
      <c r="E10" s="344">
        <v>57.5</v>
      </c>
      <c r="F10" s="344">
        <v>67.5</v>
      </c>
      <c r="G10" s="344">
        <v>82.5</v>
      </c>
      <c r="H10" s="344">
        <v>52.5</v>
      </c>
      <c r="I10" s="344">
        <v>73</v>
      </c>
      <c r="J10" s="344">
        <v>50</v>
      </c>
      <c r="K10" s="344">
        <v>52.5</v>
      </c>
      <c r="L10" s="344">
        <v>72.5</v>
      </c>
      <c r="M10" s="344">
        <v>71</v>
      </c>
      <c r="N10" s="344">
        <v>68</v>
      </c>
      <c r="O10" s="344">
        <v>67.5</v>
      </c>
      <c r="P10" s="344">
        <v>70</v>
      </c>
      <c r="Q10" s="272">
        <v>74.5</v>
      </c>
      <c r="R10" s="344">
        <v>77.5</v>
      </c>
      <c r="S10" s="344">
        <v>76.5</v>
      </c>
      <c r="T10" s="344">
        <v>72.5</v>
      </c>
      <c r="U10" s="344">
        <v>37.5</v>
      </c>
      <c r="V10" s="344">
        <v>46.5</v>
      </c>
      <c r="W10" s="344">
        <v>40.5</v>
      </c>
      <c r="X10" s="344">
        <v>52.5</v>
      </c>
      <c r="Y10" s="344">
        <v>62.5</v>
      </c>
      <c r="Z10" s="344">
        <v>94</v>
      </c>
      <c r="AA10" s="344">
        <v>85</v>
      </c>
      <c r="AB10" s="344">
        <v>77.5</v>
      </c>
      <c r="AC10" s="344">
        <v>64.5</v>
      </c>
      <c r="AD10" s="344">
        <v>63</v>
      </c>
      <c r="AE10" s="344">
        <v>70</v>
      </c>
      <c r="AF10" s="344">
        <v>41</v>
      </c>
      <c r="AG10" s="344">
        <v>67.5</v>
      </c>
      <c r="AH10" s="344">
        <v>67</v>
      </c>
      <c r="AI10" s="344">
        <v>61</v>
      </c>
      <c r="AJ10" s="344">
        <v>70.5</v>
      </c>
      <c r="AK10" s="332">
        <f t="shared" si="0"/>
        <v>65.242857142857147</v>
      </c>
      <c r="AL10" s="332">
        <f t="shared" si="2"/>
        <v>65.242857142857147</v>
      </c>
      <c r="AM10" s="188">
        <f t="shared" si="1"/>
        <v>4</v>
      </c>
    </row>
    <row r="11" spans="1:39" s="65" customFormat="1" ht="14.4">
      <c r="A11" s="319" t="s">
        <v>196</v>
      </c>
      <c r="B11" s="272">
        <v>20</v>
      </c>
      <c r="C11" s="344">
        <v>44</v>
      </c>
      <c r="D11" s="344">
        <v>79</v>
      </c>
      <c r="E11" s="344">
        <v>25</v>
      </c>
      <c r="F11" s="344">
        <v>40</v>
      </c>
      <c r="G11" s="344">
        <v>37.5</v>
      </c>
      <c r="H11" s="344">
        <v>37.5</v>
      </c>
      <c r="I11" s="344">
        <v>68.5</v>
      </c>
      <c r="J11" s="344">
        <v>47</v>
      </c>
      <c r="K11" s="344">
        <v>40</v>
      </c>
      <c r="L11" s="344">
        <v>37.5</v>
      </c>
      <c r="M11" s="344">
        <v>37.5</v>
      </c>
      <c r="N11" s="344">
        <v>50</v>
      </c>
      <c r="O11" s="344">
        <v>65</v>
      </c>
      <c r="P11" s="344">
        <v>70</v>
      </c>
      <c r="Q11" s="272">
        <v>67.5</v>
      </c>
      <c r="R11" s="344">
        <v>50</v>
      </c>
      <c r="S11" s="344">
        <v>31.5</v>
      </c>
      <c r="T11" s="344">
        <v>65</v>
      </c>
      <c r="U11" s="344">
        <v>77.5</v>
      </c>
      <c r="V11" s="344">
        <v>55</v>
      </c>
      <c r="W11" s="344">
        <v>62.5</v>
      </c>
      <c r="X11" s="344">
        <v>66</v>
      </c>
      <c r="Y11" s="344">
        <v>37.5</v>
      </c>
      <c r="Z11" s="344">
        <v>33.5</v>
      </c>
      <c r="AA11" s="344">
        <v>45</v>
      </c>
      <c r="AB11" s="344">
        <v>55</v>
      </c>
      <c r="AC11" s="344">
        <v>32</v>
      </c>
      <c r="AD11" s="344">
        <v>30</v>
      </c>
      <c r="AE11" s="344">
        <v>45.5</v>
      </c>
      <c r="AF11" s="344">
        <v>55</v>
      </c>
      <c r="AG11" s="344">
        <v>62.5</v>
      </c>
      <c r="AH11" s="344"/>
      <c r="AI11" s="344"/>
      <c r="AJ11" s="344"/>
      <c r="AK11" s="332">
        <f t="shared" si="0"/>
        <v>49.046875</v>
      </c>
      <c r="AL11" s="332">
        <f t="shared" si="2"/>
        <v>49.046875</v>
      </c>
      <c r="AM11" s="188">
        <f t="shared" si="1"/>
        <v>11</v>
      </c>
    </row>
    <row r="12" spans="1:39" s="273" customFormat="1" ht="14.4">
      <c r="A12" s="319" t="s">
        <v>197</v>
      </c>
      <c r="B12" s="272">
        <v>37.5</v>
      </c>
      <c r="C12" s="344">
        <v>67.5</v>
      </c>
      <c r="D12" s="344">
        <v>52.5</v>
      </c>
      <c r="E12" s="344">
        <v>74.5</v>
      </c>
      <c r="F12" s="344">
        <v>69</v>
      </c>
      <c r="G12" s="344">
        <v>47.5</v>
      </c>
      <c r="H12" s="344">
        <v>46</v>
      </c>
      <c r="I12" s="344">
        <v>42.5</v>
      </c>
      <c r="J12" s="344">
        <v>55</v>
      </c>
      <c r="K12" s="344">
        <v>60</v>
      </c>
      <c r="L12" s="344">
        <v>57.5</v>
      </c>
      <c r="M12" s="344">
        <v>67</v>
      </c>
      <c r="N12" s="344">
        <v>52.5</v>
      </c>
      <c r="O12" s="344">
        <v>35</v>
      </c>
      <c r="P12" s="344">
        <v>59</v>
      </c>
      <c r="Q12" s="272">
        <v>69</v>
      </c>
      <c r="R12" s="344">
        <v>66</v>
      </c>
      <c r="S12" s="344">
        <v>32.5</v>
      </c>
      <c r="T12" s="344">
        <v>30</v>
      </c>
      <c r="U12" s="344">
        <v>30</v>
      </c>
      <c r="V12" s="344">
        <v>42.5</v>
      </c>
      <c r="W12" s="344">
        <v>67</v>
      </c>
      <c r="X12" s="344">
        <v>68</v>
      </c>
      <c r="Y12" s="344">
        <v>18</v>
      </c>
      <c r="Z12" s="344">
        <v>25.5</v>
      </c>
      <c r="AA12" s="344">
        <v>51</v>
      </c>
      <c r="AB12" s="344">
        <v>22.5</v>
      </c>
      <c r="AC12" s="344">
        <v>17.5</v>
      </c>
      <c r="AD12" s="344">
        <v>43</v>
      </c>
      <c r="AE12" s="344">
        <v>26</v>
      </c>
      <c r="AF12" s="344">
        <v>65</v>
      </c>
      <c r="AG12" s="344">
        <v>90</v>
      </c>
      <c r="AH12" s="344">
        <v>77</v>
      </c>
      <c r="AI12" s="344"/>
      <c r="AJ12" s="344"/>
      <c r="AK12" s="332">
        <f t="shared" si="0"/>
        <v>50.409090909090907</v>
      </c>
      <c r="AL12" s="332">
        <f t="shared" si="2"/>
        <v>50.409090909090907</v>
      </c>
      <c r="AM12" s="188">
        <f t="shared" si="1"/>
        <v>10</v>
      </c>
    </row>
    <row r="13" spans="1:39" s="65" customFormat="1" ht="14.4">
      <c r="A13" s="319" t="s">
        <v>198</v>
      </c>
      <c r="B13" s="272">
        <v>47.5</v>
      </c>
      <c r="C13" s="344">
        <v>53.5</v>
      </c>
      <c r="D13" s="344">
        <v>67.5</v>
      </c>
      <c r="E13" s="344">
        <v>67</v>
      </c>
      <c r="F13" s="344">
        <v>62</v>
      </c>
      <c r="G13" s="344">
        <v>60</v>
      </c>
      <c r="H13" s="344">
        <v>70</v>
      </c>
      <c r="I13" s="344">
        <v>72.5</v>
      </c>
      <c r="J13" s="344">
        <v>80</v>
      </c>
      <c r="K13" s="344">
        <v>73</v>
      </c>
      <c r="L13" s="344">
        <v>63</v>
      </c>
      <c r="M13" s="344">
        <v>62</v>
      </c>
      <c r="N13" s="344">
        <v>35</v>
      </c>
      <c r="O13" s="344">
        <v>22.5</v>
      </c>
      <c r="P13" s="344">
        <v>52.5</v>
      </c>
      <c r="Q13" s="272">
        <v>85</v>
      </c>
      <c r="R13" s="344">
        <v>80</v>
      </c>
      <c r="S13" s="344">
        <v>55</v>
      </c>
      <c r="T13" s="344">
        <v>79</v>
      </c>
      <c r="U13" s="344">
        <v>87</v>
      </c>
      <c r="V13" s="344">
        <v>27.5</v>
      </c>
      <c r="W13" s="344">
        <v>47.5</v>
      </c>
      <c r="X13" s="344">
        <v>66</v>
      </c>
      <c r="Y13" s="344">
        <v>76</v>
      </c>
      <c r="Z13" s="344">
        <v>24</v>
      </c>
      <c r="AA13" s="344">
        <v>47</v>
      </c>
      <c r="AB13" s="344">
        <v>51</v>
      </c>
      <c r="AC13" s="344">
        <v>28</v>
      </c>
      <c r="AD13" s="344">
        <v>25</v>
      </c>
      <c r="AE13" s="344">
        <v>35</v>
      </c>
      <c r="AF13" s="344">
        <v>38</v>
      </c>
      <c r="AG13" s="344">
        <v>73</v>
      </c>
      <c r="AH13" s="344">
        <v>70</v>
      </c>
      <c r="AI13" s="344">
        <v>86</v>
      </c>
      <c r="AJ13" s="344"/>
      <c r="AK13" s="332">
        <f t="shared" si="0"/>
        <v>57.882352941176471</v>
      </c>
      <c r="AL13" s="332">
        <f t="shared" si="2"/>
        <v>57.882352941176471</v>
      </c>
      <c r="AM13" s="188">
        <f t="shared" si="1"/>
        <v>8</v>
      </c>
    </row>
    <row r="14" spans="1:39" s="65" customFormat="1" ht="14.4">
      <c r="A14" s="429" t="s">
        <v>199</v>
      </c>
      <c r="B14" s="272">
        <v>51</v>
      </c>
      <c r="C14" s="344">
        <v>62.5</v>
      </c>
      <c r="D14" s="344">
        <v>72.5</v>
      </c>
      <c r="E14" s="344">
        <v>65</v>
      </c>
      <c r="F14" s="344">
        <v>51</v>
      </c>
      <c r="G14" s="344">
        <v>47</v>
      </c>
      <c r="H14" s="344">
        <v>55</v>
      </c>
      <c r="I14" s="344">
        <v>70</v>
      </c>
      <c r="J14" s="344">
        <v>45</v>
      </c>
      <c r="K14" s="344">
        <v>67</v>
      </c>
      <c r="L14" s="344">
        <v>71</v>
      </c>
      <c r="M14" s="344">
        <v>40</v>
      </c>
      <c r="N14" s="344">
        <v>40</v>
      </c>
      <c r="O14" s="344">
        <v>37.5</v>
      </c>
      <c r="P14" s="344">
        <v>68.5</v>
      </c>
      <c r="Q14" s="272">
        <v>45</v>
      </c>
      <c r="R14" s="344">
        <v>60</v>
      </c>
      <c r="S14" s="344">
        <v>50</v>
      </c>
      <c r="T14" s="344">
        <v>61.5</v>
      </c>
      <c r="U14" s="344">
        <v>90</v>
      </c>
      <c r="V14" s="344">
        <v>62.5</v>
      </c>
      <c r="W14" s="344">
        <v>60</v>
      </c>
      <c r="X14" s="344">
        <v>65.5</v>
      </c>
      <c r="Y14" s="344">
        <v>81.5</v>
      </c>
      <c r="Z14" s="344">
        <v>82</v>
      </c>
      <c r="AA14" s="344">
        <v>62.5</v>
      </c>
      <c r="AB14" s="344">
        <v>74</v>
      </c>
      <c r="AC14" s="344">
        <v>86.5</v>
      </c>
      <c r="AD14" s="344">
        <v>26.5</v>
      </c>
      <c r="AE14" s="344">
        <v>65</v>
      </c>
      <c r="AF14" s="344">
        <v>54</v>
      </c>
      <c r="AG14" s="344">
        <v>65</v>
      </c>
      <c r="AH14" s="344">
        <v>57</v>
      </c>
      <c r="AI14" s="344"/>
      <c r="AJ14" s="344"/>
      <c r="AK14" s="332">
        <f t="shared" si="0"/>
        <v>60.348484848484851</v>
      </c>
      <c r="AL14" s="332">
        <f t="shared" si="2"/>
        <v>60.348484848484851</v>
      </c>
      <c r="AM14" s="188">
        <f t="shared" si="1"/>
        <v>6</v>
      </c>
    </row>
    <row r="15" spans="1:39" s="65" customFormat="1" ht="28.8">
      <c r="A15" s="435" t="s">
        <v>216</v>
      </c>
      <c r="B15" s="272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23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32"/>
      <c r="AL15" s="332"/>
      <c r="AM15" s="188"/>
    </row>
    <row r="16" spans="1:39" s="167" customFormat="1" ht="14.4">
      <c r="A16" s="429" t="s">
        <v>200</v>
      </c>
      <c r="B16" s="355">
        <v>63</v>
      </c>
      <c r="C16" s="345">
        <v>17.5</v>
      </c>
      <c r="D16" s="345">
        <v>65</v>
      </c>
      <c r="E16" s="345">
        <v>75.5</v>
      </c>
      <c r="F16" s="345">
        <v>83.5</v>
      </c>
      <c r="G16" s="345">
        <v>69</v>
      </c>
      <c r="H16" s="345">
        <v>72.5</v>
      </c>
      <c r="I16" s="345">
        <v>87.5</v>
      </c>
      <c r="J16" s="345">
        <v>74.5</v>
      </c>
      <c r="K16" s="345">
        <v>75</v>
      </c>
      <c r="L16" s="345">
        <v>82.5</v>
      </c>
      <c r="M16" s="345">
        <v>75</v>
      </c>
      <c r="N16" s="345">
        <v>72.5</v>
      </c>
      <c r="O16" s="345">
        <v>63</v>
      </c>
      <c r="P16" s="345">
        <v>83</v>
      </c>
      <c r="Q16" s="355">
        <v>80</v>
      </c>
      <c r="R16" s="345">
        <v>65</v>
      </c>
      <c r="S16" s="345">
        <v>100</v>
      </c>
      <c r="T16" s="345">
        <v>82.5</v>
      </c>
      <c r="U16" s="345">
        <v>66</v>
      </c>
      <c r="V16" s="345">
        <v>78</v>
      </c>
      <c r="W16" s="345">
        <v>67.5</v>
      </c>
      <c r="X16" s="345">
        <v>82</v>
      </c>
      <c r="Y16" s="345">
        <v>83</v>
      </c>
      <c r="Z16" s="345">
        <v>84</v>
      </c>
      <c r="AA16" s="345">
        <v>80</v>
      </c>
      <c r="AB16" s="345">
        <v>44.5</v>
      </c>
      <c r="AC16" s="345">
        <v>82</v>
      </c>
      <c r="AD16" s="345">
        <v>87.5</v>
      </c>
      <c r="AE16" s="345">
        <v>92.5</v>
      </c>
      <c r="AF16" s="345">
        <v>72.5</v>
      </c>
      <c r="AG16" s="345">
        <v>94</v>
      </c>
      <c r="AH16" s="345"/>
      <c r="AI16" s="345"/>
      <c r="AJ16" s="403"/>
      <c r="AK16" s="332">
        <f t="shared" si="0"/>
        <v>75</v>
      </c>
      <c r="AL16" s="332">
        <f t="shared" si="2"/>
        <v>75</v>
      </c>
      <c r="AM16" s="229">
        <f>RANK(AL16,$AL$4:$AL$16)</f>
        <v>1</v>
      </c>
    </row>
    <row r="17" spans="37:38">
      <c r="AK17" s="306"/>
      <c r="AL17" s="206"/>
    </row>
    <row r="18" spans="37:38">
      <c r="AK18" s="307"/>
      <c r="AL18" s="315" t="s">
        <v>168</v>
      </c>
    </row>
  </sheetData>
  <phoneticPr fontId="23" type="noConversion"/>
  <printOptions gridLines="1"/>
  <pageMargins left="0.21" right="0.2" top="1" bottom="1" header="0.5" footer="0.5"/>
  <pageSetup scale="49" orientation="landscape" horizontalDpi="4294967294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69"/>
  <sheetViews>
    <sheetView topLeftCell="A4" workbookViewId="0">
      <selection activeCell="B13" sqref="B13:G13"/>
    </sheetView>
  </sheetViews>
  <sheetFormatPr defaultColWidth="8.88671875" defaultRowHeight="13.2"/>
  <cols>
    <col min="1" max="1" width="39.4414062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479" t="s">
        <v>230</v>
      </c>
      <c r="B1" s="8"/>
      <c r="C1" s="6"/>
      <c r="D1" s="9"/>
      <c r="E1" s="67"/>
      <c r="F1" s="38"/>
      <c r="G1" s="6"/>
      <c r="H1" s="6"/>
    </row>
    <row r="2" spans="1:8" s="65" customFormat="1" ht="12.75" customHeight="1">
      <c r="A2" s="38"/>
      <c r="B2" s="38"/>
      <c r="C2" s="38"/>
      <c r="D2" s="192" t="s">
        <v>15</v>
      </c>
      <c r="E2" s="193">
        <f>MIN(D5:D17)</f>
        <v>7.75</v>
      </c>
      <c r="F2" s="38" t="s">
        <v>16</v>
      </c>
      <c r="G2" s="38"/>
      <c r="H2" s="38"/>
    </row>
    <row r="3" spans="1:8">
      <c r="A3" s="210"/>
      <c r="B3" s="11"/>
      <c r="C3" s="12"/>
      <c r="D3" s="194" t="s">
        <v>84</v>
      </c>
      <c r="E3" s="193">
        <v>11.66</v>
      </c>
      <c r="F3" s="247" t="s">
        <v>16</v>
      </c>
      <c r="G3" s="6"/>
    </row>
    <row r="4" spans="1:8" ht="27" customHeight="1">
      <c r="A4" s="10"/>
      <c r="B4" s="39" t="s">
        <v>32</v>
      </c>
      <c r="C4" s="39" t="s">
        <v>33</v>
      </c>
      <c r="D4" s="39" t="s">
        <v>39</v>
      </c>
      <c r="E4" s="36" t="s">
        <v>9</v>
      </c>
      <c r="F4" s="5" t="s">
        <v>28</v>
      </c>
      <c r="G4" s="262" t="s">
        <v>187</v>
      </c>
      <c r="H4" s="36"/>
    </row>
    <row r="5" spans="1:8" ht="14.4">
      <c r="A5" s="319" t="s">
        <v>190</v>
      </c>
      <c r="B5" s="480">
        <v>10.01</v>
      </c>
      <c r="C5" s="481">
        <v>9.84</v>
      </c>
      <c r="D5" s="168">
        <f t="shared" ref="D5:D14" si="0">MIN(B5:C5)</f>
        <v>9.84</v>
      </c>
      <c r="E5" s="250">
        <f>IF(D5&gt;=12,2.5,(-$D$21*D5+$D$22))</f>
        <v>23.273657289002557</v>
      </c>
      <c r="F5" s="5">
        <f>RANK(E5,$E$5:$E$17)</f>
        <v>6</v>
      </c>
      <c r="G5" s="315">
        <v>54</v>
      </c>
      <c r="H5" s="64"/>
    </row>
    <row r="6" spans="1:8" ht="14.4">
      <c r="A6" s="319" t="s">
        <v>191</v>
      </c>
      <c r="B6" s="482">
        <v>7.9</v>
      </c>
      <c r="C6" s="483">
        <v>7.75</v>
      </c>
      <c r="D6" s="168">
        <f t="shared" si="0"/>
        <v>7.75</v>
      </c>
      <c r="E6" s="250">
        <f t="shared" ref="E6:E12" si="1">IF(D6&gt;=12,2.5,(-$D$21*D6+$D$22))</f>
        <v>50</v>
      </c>
      <c r="F6" s="5">
        <f>RANK(E6,$E$5:$E$17)</f>
        <v>1</v>
      </c>
      <c r="G6" s="315">
        <v>73</v>
      </c>
      <c r="H6" s="64"/>
    </row>
    <row r="7" spans="1:8" ht="14.4">
      <c r="A7" s="319" t="s">
        <v>192</v>
      </c>
      <c r="B7" s="482">
        <v>10.38</v>
      </c>
      <c r="C7" s="483">
        <v>7.97</v>
      </c>
      <c r="D7" s="168">
        <f t="shared" si="0"/>
        <v>7.97</v>
      </c>
      <c r="E7" s="250">
        <f t="shared" si="1"/>
        <v>47.186700767263432</v>
      </c>
      <c r="F7" s="5">
        <f>RANK(E7,$E$5:$E$17)</f>
        <v>2</v>
      </c>
      <c r="G7" s="315">
        <v>73</v>
      </c>
      <c r="H7" s="64"/>
    </row>
    <row r="8" spans="1:8" s="206" customFormat="1" ht="14.4">
      <c r="A8" s="432" t="s">
        <v>213</v>
      </c>
      <c r="B8" s="507"/>
      <c r="C8" s="508"/>
      <c r="D8" s="249"/>
      <c r="E8" s="250"/>
      <c r="F8" s="5"/>
      <c r="G8" s="315"/>
      <c r="H8" s="235"/>
    </row>
    <row r="9" spans="1:8" ht="14.4">
      <c r="A9" s="319" t="s">
        <v>193</v>
      </c>
      <c r="B9" s="482">
        <v>11.09</v>
      </c>
      <c r="C9" s="483">
        <v>10.72</v>
      </c>
      <c r="D9" s="168">
        <f t="shared" si="0"/>
        <v>10.72</v>
      </c>
      <c r="E9" s="250">
        <f t="shared" si="1"/>
        <v>12.020460358056255</v>
      </c>
      <c r="F9" s="5">
        <f t="shared" ref="F9:F14" si="2">RANK(E9,$E$5:$E$17)</f>
        <v>8</v>
      </c>
      <c r="G9" s="315">
        <v>56</v>
      </c>
      <c r="H9" s="64"/>
    </row>
    <row r="10" spans="1:8" ht="14.4">
      <c r="A10" s="319" t="s">
        <v>194</v>
      </c>
      <c r="B10" s="499">
        <v>18</v>
      </c>
      <c r="C10" s="500">
        <v>15.75</v>
      </c>
      <c r="D10" s="168"/>
      <c r="E10" s="250">
        <v>2.5</v>
      </c>
      <c r="F10" s="5">
        <f t="shared" si="2"/>
        <v>9</v>
      </c>
      <c r="G10" s="315">
        <v>49</v>
      </c>
      <c r="H10" s="64"/>
    </row>
    <row r="11" spans="1:8" ht="14.4">
      <c r="A11" s="383" t="s">
        <v>195</v>
      </c>
      <c r="B11" s="482">
        <v>9.9700000000000006</v>
      </c>
      <c r="C11" s="483">
        <v>9.75</v>
      </c>
      <c r="D11" s="168">
        <f t="shared" si="0"/>
        <v>9.75</v>
      </c>
      <c r="E11" s="250">
        <f t="shared" si="1"/>
        <v>24.424552429667528</v>
      </c>
      <c r="F11" s="5">
        <f t="shared" si="2"/>
        <v>5</v>
      </c>
      <c r="G11" s="315">
        <v>56</v>
      </c>
      <c r="H11" s="64"/>
    </row>
    <row r="12" spans="1:8" ht="14.4">
      <c r="A12" s="319" t="s">
        <v>196</v>
      </c>
      <c r="B12" s="482">
        <v>8.9700000000000006</v>
      </c>
      <c r="C12" s="483">
        <v>8.01</v>
      </c>
      <c r="D12" s="168">
        <f t="shared" si="0"/>
        <v>8.01</v>
      </c>
      <c r="E12" s="250">
        <f t="shared" si="1"/>
        <v>46.675191815856778</v>
      </c>
      <c r="F12" s="5">
        <f t="shared" si="2"/>
        <v>3</v>
      </c>
      <c r="G12" s="315">
        <v>71</v>
      </c>
      <c r="H12" s="64"/>
    </row>
    <row r="13" spans="1:8" ht="14.4">
      <c r="A13" s="319" t="s">
        <v>197</v>
      </c>
      <c r="B13" s="507"/>
      <c r="C13" s="508"/>
      <c r="D13" s="168"/>
      <c r="E13" s="250"/>
      <c r="F13" s="5"/>
      <c r="G13" s="315"/>
      <c r="H13" s="64"/>
    </row>
    <row r="14" spans="1:8" s="140" customFormat="1" ht="14.4">
      <c r="A14" s="319" t="s">
        <v>198</v>
      </c>
      <c r="B14" s="482">
        <v>11.66</v>
      </c>
      <c r="C14" s="500">
        <v>13</v>
      </c>
      <c r="D14" s="168">
        <f t="shared" si="0"/>
        <v>11.66</v>
      </c>
      <c r="E14" s="250">
        <v>2.5</v>
      </c>
      <c r="F14" s="5">
        <f t="shared" si="2"/>
        <v>9</v>
      </c>
      <c r="G14" s="315">
        <v>49</v>
      </c>
      <c r="H14" s="144"/>
    </row>
    <row r="15" spans="1:8" s="140" customFormat="1" ht="14.4">
      <c r="A15" s="429" t="s">
        <v>199</v>
      </c>
      <c r="B15" s="482">
        <v>10.69</v>
      </c>
      <c r="C15" s="483">
        <v>11.78</v>
      </c>
      <c r="D15" s="168">
        <f t="shared" ref="D15:D17" si="3">MIN(B15:C15)</f>
        <v>10.69</v>
      </c>
      <c r="E15" s="250">
        <f t="shared" ref="E15:E17" si="4">IF(D15&gt;=12,2.5,(-$D$21*D15+$D$22))</f>
        <v>12.404092071611274</v>
      </c>
      <c r="F15" s="5">
        <f t="shared" ref="F15:F17" si="5">RANK(E15,$E$5:$E$17)</f>
        <v>7</v>
      </c>
      <c r="G15" s="315">
        <v>70</v>
      </c>
      <c r="H15" s="144"/>
    </row>
    <row r="16" spans="1:8" s="140" customFormat="1" ht="28.8">
      <c r="A16" s="435" t="s">
        <v>216</v>
      </c>
      <c r="B16" s="507"/>
      <c r="C16" s="508"/>
      <c r="D16" s="168"/>
      <c r="E16" s="250"/>
      <c r="F16" s="5"/>
      <c r="G16" s="315"/>
      <c r="H16" s="144"/>
    </row>
    <row r="17" spans="1:8" ht="14.4">
      <c r="A17" s="429" t="s">
        <v>217</v>
      </c>
      <c r="B17" s="482">
        <v>9.09</v>
      </c>
      <c r="C17" s="483">
        <v>9.5</v>
      </c>
      <c r="D17" s="168">
        <f t="shared" si="3"/>
        <v>9.09</v>
      </c>
      <c r="E17" s="250">
        <f t="shared" si="4"/>
        <v>32.864450127877248</v>
      </c>
      <c r="F17" s="5">
        <f t="shared" si="5"/>
        <v>4</v>
      </c>
      <c r="G17" s="315">
        <v>63</v>
      </c>
      <c r="H17" s="2"/>
    </row>
    <row r="18" spans="1:8">
      <c r="A18" s="24"/>
      <c r="B18" s="56"/>
      <c r="C18" s="56"/>
      <c r="D18" s="56"/>
      <c r="E18" s="18"/>
      <c r="F18" s="18"/>
      <c r="G18" s="18"/>
      <c r="H18" s="3"/>
    </row>
    <row r="19" spans="1:8">
      <c r="A19" s="24"/>
      <c r="B19" s="56"/>
      <c r="C19" s="135"/>
      <c r="D19" s="56"/>
      <c r="E19" s="18"/>
      <c r="F19" s="18"/>
      <c r="G19" s="18"/>
      <c r="H19" s="3"/>
    </row>
    <row r="20" spans="1:8">
      <c r="A20" s="24"/>
      <c r="B20" s="56"/>
      <c r="C20" s="261" t="s">
        <v>147</v>
      </c>
      <c r="D20" s="56"/>
      <c r="E20" s="18"/>
      <c r="F20" s="18"/>
      <c r="G20" s="18"/>
      <c r="H20" s="3"/>
    </row>
    <row r="21" spans="1:8">
      <c r="A21" s="24"/>
      <c r="B21" s="56"/>
      <c r="C21" s="310" t="s">
        <v>144</v>
      </c>
      <c r="D21" s="308">
        <f>50/(E3-E2)</f>
        <v>12.787723785166239</v>
      </c>
      <c r="E21" s="18"/>
      <c r="F21" s="18"/>
      <c r="G21" s="18"/>
      <c r="H21" s="3"/>
    </row>
    <row r="22" spans="1:8">
      <c r="A22" s="24"/>
      <c r="B22" s="56"/>
      <c r="C22" s="310" t="s">
        <v>145</v>
      </c>
      <c r="D22" s="309">
        <f>D21*E3</f>
        <v>149.10485933503836</v>
      </c>
      <c r="E22" s="18"/>
      <c r="F22" s="18"/>
      <c r="G22" s="18"/>
      <c r="H22" s="3"/>
    </row>
    <row r="23" spans="1:8">
      <c r="A23" s="24"/>
      <c r="C23" s="261" t="s">
        <v>240</v>
      </c>
      <c r="D23" s="56"/>
      <c r="E23" s="18"/>
      <c r="F23" s="18"/>
      <c r="G23" s="18"/>
      <c r="H23" s="3"/>
    </row>
    <row r="24" spans="1:8">
      <c r="A24" s="24"/>
      <c r="B24" s="56"/>
      <c r="C24" s="56"/>
      <c r="D24" s="56"/>
      <c r="E24" s="18"/>
      <c r="F24" s="18"/>
      <c r="G24" s="18"/>
      <c r="H24" s="3"/>
    </row>
    <row r="25" spans="1:8">
      <c r="A25" s="24"/>
      <c r="B25" s="56"/>
      <c r="C25" s="56"/>
      <c r="D25" s="56"/>
      <c r="E25" s="18"/>
      <c r="F25" s="18"/>
      <c r="G25" s="18"/>
      <c r="H25" s="3"/>
    </row>
    <row r="26" spans="1:8">
      <c r="A26" s="24"/>
      <c r="B26" s="56"/>
      <c r="C26" s="56"/>
      <c r="D26" s="56"/>
      <c r="E26" s="18"/>
      <c r="F26" s="18"/>
      <c r="G26" s="18"/>
      <c r="H26" s="3"/>
    </row>
    <row r="27" spans="1:8">
      <c r="A27" s="24"/>
      <c r="B27" s="56"/>
      <c r="C27" s="56"/>
      <c r="D27" s="56"/>
      <c r="E27" s="18"/>
      <c r="F27" s="18"/>
      <c r="G27" s="18"/>
      <c r="H27" s="3"/>
    </row>
    <row r="28" spans="1:8">
      <c r="A28" s="24"/>
      <c r="B28" s="56"/>
      <c r="C28" s="56"/>
      <c r="D28" s="56"/>
      <c r="E28" s="18"/>
      <c r="F28" s="18"/>
      <c r="G28" s="18"/>
      <c r="H28" s="6"/>
    </row>
    <row r="29" spans="1:8">
      <c r="A29" s="24"/>
      <c r="B29" s="56"/>
      <c r="C29" s="56"/>
      <c r="D29" s="56"/>
      <c r="E29" s="18"/>
      <c r="F29" s="18"/>
      <c r="G29" s="18"/>
      <c r="H29" s="6"/>
    </row>
    <row r="30" spans="1:8">
      <c r="A30" s="12"/>
      <c r="B30" s="56"/>
      <c r="C30" s="56"/>
      <c r="D30" s="56"/>
      <c r="E30" s="18"/>
      <c r="F30" s="18"/>
      <c r="G30" s="18"/>
      <c r="H30" s="6"/>
    </row>
    <row r="31" spans="1:8">
      <c r="A31" s="12"/>
      <c r="B31" s="56"/>
      <c r="C31" s="56"/>
      <c r="D31" s="56"/>
      <c r="E31" s="18"/>
      <c r="F31" s="18"/>
      <c r="G31" s="18"/>
      <c r="H31" s="6"/>
    </row>
    <row r="32" spans="1:8">
      <c r="A32" s="12"/>
      <c r="B32" s="56"/>
      <c r="C32" s="56"/>
      <c r="D32" s="56"/>
      <c r="E32" s="18"/>
      <c r="F32" s="18"/>
      <c r="G32" s="18"/>
      <c r="H32" s="6"/>
    </row>
    <row r="33" spans="1:8">
      <c r="A33" s="51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23" type="noConversion"/>
  <printOptions gridLines="1"/>
  <pageMargins left="0.75" right="0.75" top="0.5" bottom="0.5" header="0.5" footer="0.5"/>
  <pageSetup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2012-03-11T15:23:34Z</cp:lastPrinted>
  <dcterms:created xsi:type="dcterms:W3CDTF">2000-03-12T02:15:03Z</dcterms:created>
  <dcterms:modified xsi:type="dcterms:W3CDTF">2014-03-10T13:59:53Z</dcterms:modified>
</cp:coreProperties>
</file>