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png" ContentType="image/png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-15" yWindow="4260" windowWidth="19260" windowHeight="4320" tabRatio="778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definedNames>
    <definedName name="Bmax">'Lab Emissions'!$N$20</definedName>
    <definedName name="Bmin">'Lab Emissions'!$N$19</definedName>
    <definedName name="Emax">'Lab Emissions'!$J$20</definedName>
    <definedName name="Emin">'Lab Emissions'!$J$19</definedName>
    <definedName name="_xlnm.Print_Area" localSheetId="0">'Totals and Awards'!$A$1:$O$63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6" i="13"/>
  <c r="B62"/>
  <c r="B61"/>
  <c r="B60"/>
  <c r="B59"/>
  <c r="B58"/>
  <c r="B57"/>
  <c r="B55"/>
  <c r="B56"/>
  <c r="B54"/>
  <c r="B53"/>
  <c r="B52"/>
  <c r="B51"/>
  <c r="B50"/>
  <c r="B49"/>
  <c r="B48"/>
  <c r="B47"/>
  <c r="B46"/>
  <c r="B45"/>
  <c r="B44"/>
  <c r="B43"/>
  <c r="B42"/>
  <c r="O6" i="18"/>
  <c r="O7"/>
  <c r="O9"/>
  <c r="O10"/>
  <c r="O11"/>
  <c r="O12"/>
  <c r="O14"/>
  <c r="O5"/>
  <c r="D6" i="11"/>
  <c r="D7"/>
  <c r="D8"/>
  <c r="D10"/>
  <c r="D11"/>
  <c r="D12"/>
  <c r="D13"/>
  <c r="D15"/>
  <c r="E2"/>
  <c r="E3"/>
  <c r="E23"/>
  <c r="E24"/>
  <c r="E7"/>
  <c r="E8"/>
  <c r="E10"/>
  <c r="E11"/>
  <c r="E12"/>
  <c r="E13"/>
  <c r="E6"/>
  <c r="L5" i="14"/>
  <c r="L6"/>
  <c r="L8"/>
  <c r="L9"/>
  <c r="L10"/>
  <c r="L11"/>
  <c r="L13"/>
  <c r="L4"/>
  <c r="I23" i="1"/>
  <c r="H23"/>
  <c r="G23"/>
  <c r="F23"/>
  <c r="C14" i="13"/>
  <c r="O5"/>
  <c r="O6"/>
  <c r="O7"/>
  <c r="O8"/>
  <c r="O9"/>
  <c r="O10"/>
  <c r="O11"/>
  <c r="O12"/>
  <c r="O13"/>
  <c r="O14"/>
  <c r="O15"/>
  <c r="O16"/>
  <c r="O17"/>
  <c r="J5"/>
  <c r="J6"/>
  <c r="J7"/>
  <c r="J8"/>
  <c r="J9"/>
  <c r="J10"/>
  <c r="J11"/>
  <c r="J12"/>
  <c r="J14"/>
  <c r="J15"/>
  <c r="J16"/>
  <c r="J17"/>
  <c r="C16"/>
  <c r="C17"/>
  <c r="N70" i="1"/>
  <c r="O70"/>
  <c r="N67"/>
  <c r="N68"/>
  <c r="B15" i="13"/>
  <c r="O67" i="1"/>
  <c r="B16" i="13"/>
  <c r="J5" i="12"/>
  <c r="N5" i="13"/>
  <c r="J6" i="12"/>
  <c r="N6" i="13"/>
  <c r="J7" i="12"/>
  <c r="N7" i="13"/>
  <c r="J8" i="12"/>
  <c r="N8" i="13"/>
  <c r="J9" i="12"/>
  <c r="N9" i="13"/>
  <c r="J10" i="12"/>
  <c r="N10" i="13"/>
  <c r="J11" i="12"/>
  <c r="N11" i="13"/>
  <c r="J12" i="12"/>
  <c r="N12" i="13"/>
  <c r="J13" i="12"/>
  <c r="N13" i="13"/>
  <c r="J14" i="12"/>
  <c r="N14" i="13"/>
  <c r="J15" i="12"/>
  <c r="N15" i="13"/>
  <c r="J16" i="12"/>
  <c r="N16" i="13"/>
  <c r="J17" i="12"/>
  <c r="N17" i="13"/>
  <c r="L14"/>
  <c r="L15"/>
  <c r="L16"/>
  <c r="L17"/>
  <c r="L7"/>
  <c r="H10" i="19"/>
  <c r="H11"/>
  <c r="H12"/>
  <c r="H13"/>
  <c r="H14"/>
  <c r="J19" i="18"/>
  <c r="R15"/>
  <c r="R16"/>
  <c r="R17"/>
  <c r="R18"/>
  <c r="R8"/>
  <c r="L6"/>
  <c r="L7"/>
  <c r="L9"/>
  <c r="L10"/>
  <c r="L11"/>
  <c r="L12"/>
  <c r="L13"/>
  <c r="L14"/>
  <c r="D9" i="7"/>
  <c r="AA15" i="5"/>
  <c r="AB15"/>
  <c r="G15" i="13"/>
  <c r="AA16" i="5"/>
  <c r="AB16"/>
  <c r="G16" i="13"/>
  <c r="D11" i="4"/>
  <c r="D14"/>
  <c r="D15"/>
  <c r="D16"/>
  <c r="D17"/>
  <c r="E7" i="13"/>
  <c r="M8" i="14"/>
  <c r="E8" i="13"/>
  <c r="M9" i="14"/>
  <c r="E9" i="13"/>
  <c r="M10" i="14"/>
  <c r="E10" i="13"/>
  <c r="E16"/>
  <c r="E17"/>
  <c r="B28" i="3"/>
  <c r="B27"/>
  <c r="G14" i="13"/>
  <c r="F2" i="19"/>
  <c r="H6"/>
  <c r="H7"/>
  <c r="H8"/>
  <c r="C9" i="10"/>
  <c r="L9" i="13"/>
  <c r="C10" i="10"/>
  <c r="L10" i="13"/>
  <c r="C11" i="10"/>
  <c r="L11" i="13"/>
  <c r="C12" i="10"/>
  <c r="L12" i="13"/>
  <c r="C13" i="10"/>
  <c r="L13" i="13"/>
  <c r="C8" i="10"/>
  <c r="L8" i="13"/>
  <c r="R5" i="18"/>
  <c r="E5" i="15"/>
  <c r="E6"/>
  <c r="E7"/>
  <c r="E8"/>
  <c r="E9"/>
  <c r="E10"/>
  <c r="E11"/>
  <c r="E12"/>
  <c r="E13"/>
  <c r="E4"/>
  <c r="AA12" i="5"/>
  <c r="AA9"/>
  <c r="D70" i="1"/>
  <c r="E70"/>
  <c r="F70"/>
  <c r="G70"/>
  <c r="H70"/>
  <c r="I70"/>
  <c r="J70"/>
  <c r="K70"/>
  <c r="L70"/>
  <c r="M70"/>
  <c r="P70"/>
  <c r="C7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Q47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8"/>
  <c r="Q49"/>
  <c r="Q50"/>
  <c r="Q51"/>
  <c r="Q52"/>
  <c r="Q53"/>
  <c r="Q54"/>
  <c r="Q55"/>
  <c r="Q56"/>
  <c r="Q57"/>
  <c r="Q58"/>
  <c r="H6" i="15"/>
  <c r="H8"/>
  <c r="H10"/>
  <c r="H12"/>
  <c r="H5"/>
  <c r="H7"/>
  <c r="H9"/>
  <c r="H11"/>
  <c r="H13"/>
  <c r="AB9" i="5"/>
  <c r="G9" i="13"/>
  <c r="AB12" i="5"/>
  <c r="G12" i="13"/>
  <c r="B20" i="6"/>
  <c r="D14" i="7"/>
  <c r="D13"/>
  <c r="D12"/>
  <c r="D10"/>
  <c r="D10" i="4"/>
  <c r="C12" i="6"/>
  <c r="C7"/>
  <c r="C9"/>
  <c r="C11"/>
  <c r="C6"/>
  <c r="C10"/>
  <c r="B28"/>
  <c r="C5"/>
  <c r="M6" i="14"/>
  <c r="E6" i="13"/>
  <c r="M11" i="14"/>
  <c r="E11" i="13"/>
  <c r="E12"/>
  <c r="M13" i="14"/>
  <c r="E13" i="13"/>
  <c r="E14"/>
  <c r="E15"/>
  <c r="M4" i="14"/>
  <c r="C12" i="13"/>
  <c r="C9"/>
  <c r="AA4" i="5"/>
  <c r="AB4"/>
  <c r="B25" i="3"/>
  <c r="B29" i="6"/>
  <c r="B30"/>
  <c r="B31"/>
  <c r="B32"/>
  <c r="B33"/>
  <c r="B34"/>
  <c r="B35"/>
  <c r="B36"/>
  <c r="B37"/>
  <c r="B38"/>
  <c r="B39"/>
  <c r="B40"/>
  <c r="B41"/>
  <c r="B42"/>
  <c r="B43"/>
  <c r="B44"/>
  <c r="C44"/>
  <c r="C28"/>
  <c r="C43"/>
  <c r="C39"/>
  <c r="C35"/>
  <c r="C31"/>
  <c r="C40"/>
  <c r="C36"/>
  <c r="C32"/>
  <c r="C41"/>
  <c r="C37"/>
  <c r="C33"/>
  <c r="C29"/>
  <c r="C42"/>
  <c r="C38"/>
  <c r="C34"/>
  <c r="C30"/>
  <c r="B26" i="3"/>
  <c r="D16" i="13"/>
  <c r="G4"/>
  <c r="E18" i="3"/>
  <c r="L18"/>
  <c r="D15" i="13"/>
  <c r="E11" i="3"/>
  <c r="E9"/>
  <c r="L9"/>
  <c r="D6" i="13"/>
  <c r="E16" i="3"/>
  <c r="L16"/>
  <c r="D13" i="13"/>
  <c r="E12" i="3"/>
  <c r="L12"/>
  <c r="D9" i="13"/>
  <c r="E20" i="3"/>
  <c r="L20"/>
  <c r="D17" i="13"/>
  <c r="E13" i="3"/>
  <c r="L13"/>
  <c r="E14"/>
  <c r="L14"/>
  <c r="E10"/>
  <c r="L10"/>
  <c r="E7"/>
  <c r="L7"/>
  <c r="E15"/>
  <c r="L15"/>
  <c r="E8"/>
  <c r="L8"/>
  <c r="L11"/>
  <c r="D6" i="7"/>
  <c r="D7"/>
  <c r="D11"/>
  <c r="E19" i="6"/>
  <c r="D12" i="13"/>
  <c r="M15" i="3"/>
  <c r="D4" i="13"/>
  <c r="M7" i="3"/>
  <c r="D11" i="13"/>
  <c r="M14" i="3"/>
  <c r="D8" i="13"/>
  <c r="M11" i="3"/>
  <c r="D5" i="13"/>
  <c r="M8" i="3"/>
  <c r="D14" i="13"/>
  <c r="D7"/>
  <c r="M10" i="3"/>
  <c r="D10" i="13"/>
  <c r="M13" i="3"/>
  <c r="M20"/>
  <c r="M12"/>
  <c r="M16"/>
  <c r="M9"/>
  <c r="M18"/>
  <c r="C4" i="13"/>
  <c r="C5"/>
  <c r="C6"/>
  <c r="C7"/>
  <c r="C8"/>
  <c r="C10"/>
  <c r="C11"/>
  <c r="C13"/>
  <c r="C15"/>
  <c r="AA5" i="5"/>
  <c r="AA6"/>
  <c r="AA7"/>
  <c r="AA8"/>
  <c r="AA10"/>
  <c r="AA11"/>
  <c r="AA13"/>
  <c r="Q3" i="1"/>
  <c r="AB13" i="5"/>
  <c r="G13" i="13"/>
  <c r="AB11" i="5"/>
  <c r="G11" i="13"/>
  <c r="AB10" i="5"/>
  <c r="G10" i="13"/>
  <c r="AB8" i="5"/>
  <c r="G8" i="13"/>
  <c r="AB7" i="5"/>
  <c r="G7" i="13"/>
  <c r="AB6" i="5"/>
  <c r="G6" i="13"/>
  <c r="AB5" i="5"/>
  <c r="G5" i="13"/>
  <c r="J20" i="18"/>
  <c r="H4" i="15"/>
  <c r="N20" i="18"/>
  <c r="N19"/>
  <c r="E3" i="4"/>
  <c r="E2"/>
  <c r="O4" i="13"/>
  <c r="F1" i="19"/>
  <c r="B22"/>
  <c r="E20" i="6"/>
  <c r="E21"/>
  <c r="M5" i="14"/>
  <c r="D5" i="7"/>
  <c r="C5" i="10"/>
  <c r="L5" i="13"/>
  <c r="C6" i="10"/>
  <c r="L6" i="13"/>
  <c r="C4" i="10"/>
  <c r="L4" i="13"/>
  <c r="F1" i="15"/>
  <c r="J4" i="12"/>
  <c r="N4" i="13"/>
  <c r="F2" i="15"/>
  <c r="N10" i="14"/>
  <c r="N9"/>
  <c r="N8"/>
  <c r="N6"/>
  <c r="N13"/>
  <c r="N11"/>
  <c r="G17" i="13"/>
  <c r="AC15" i="5"/>
  <c r="E5" i="13"/>
  <c r="N5" i="14"/>
  <c r="B23" i="19"/>
  <c r="C11"/>
  <c r="R13" i="18"/>
  <c r="R12"/>
  <c r="R10"/>
  <c r="K23"/>
  <c r="K24"/>
  <c r="AC12" i="5"/>
  <c r="AC9"/>
  <c r="R11" i="18"/>
  <c r="E22" i="6"/>
  <c r="F9"/>
  <c r="G9"/>
  <c r="H8" i="13"/>
  <c r="E6" i="4"/>
  <c r="N4" i="14"/>
  <c r="E2" i="7"/>
  <c r="D22"/>
  <c r="J2" i="19"/>
  <c r="J1"/>
  <c r="R14" i="18"/>
  <c r="J13" i="13"/>
  <c r="P7" i="18"/>
  <c r="P9"/>
  <c r="P11"/>
  <c r="P13"/>
  <c r="P6"/>
  <c r="P8"/>
  <c r="P10"/>
  <c r="P12"/>
  <c r="P14"/>
  <c r="D26" i="13"/>
  <c r="G18" i="6"/>
  <c r="H17" i="13"/>
  <c r="G14" i="6"/>
  <c r="H13" i="13"/>
  <c r="F10" i="6"/>
  <c r="G10"/>
  <c r="H9" i="13"/>
  <c r="F6" i="6"/>
  <c r="G6"/>
  <c r="H5" i="13"/>
  <c r="G15" i="6"/>
  <c r="H14" i="13"/>
  <c r="F11" i="6"/>
  <c r="G11"/>
  <c r="H10" i="13"/>
  <c r="F7" i="6"/>
  <c r="G7"/>
  <c r="H6" i="13"/>
  <c r="G16" i="6"/>
  <c r="H15" i="13"/>
  <c r="F12" i="6"/>
  <c r="G12"/>
  <c r="H11" i="13"/>
  <c r="G8" i="6"/>
  <c r="H7" i="13"/>
  <c r="G17" i="6"/>
  <c r="H16" i="13"/>
  <c r="G13" i="6"/>
  <c r="H12" i="13"/>
  <c r="C14" i="19"/>
  <c r="C10"/>
  <c r="C13"/>
  <c r="C12"/>
  <c r="F22"/>
  <c r="C8"/>
  <c r="C6"/>
  <c r="C7"/>
  <c r="R6" i="18"/>
  <c r="F5" i="6"/>
  <c r="G5"/>
  <c r="J4" i="13"/>
  <c r="D23" i="7"/>
  <c r="E6"/>
  <c r="E7" i="4"/>
  <c r="E15"/>
  <c r="R7" i="18"/>
  <c r="R9"/>
  <c r="L5"/>
  <c r="P5"/>
  <c r="E4" i="13"/>
  <c r="E13" i="7"/>
  <c r="I12" i="13"/>
  <c r="B30"/>
  <c r="I15"/>
  <c r="C33"/>
  <c r="I14"/>
  <c r="C32"/>
  <c r="E9" i="7"/>
  <c r="I8" i="13"/>
  <c r="E12" i="7"/>
  <c r="I11" i="13"/>
  <c r="I16"/>
  <c r="C34"/>
  <c r="I7"/>
  <c r="B25"/>
  <c r="E5" i="7"/>
  <c r="I4" i="13"/>
  <c r="E11" i="7"/>
  <c r="E7"/>
  <c r="E14"/>
  <c r="I13" i="13"/>
  <c r="B31"/>
  <c r="E10" i="7"/>
  <c r="I9" i="13"/>
  <c r="I10"/>
  <c r="I5"/>
  <c r="E16" i="4"/>
  <c r="F10" i="13"/>
  <c r="F7"/>
  <c r="F14"/>
  <c r="F6"/>
  <c r="E17" i="4"/>
  <c r="F11" i="13"/>
  <c r="D23"/>
  <c r="D30"/>
  <c r="D25"/>
  <c r="D33"/>
  <c r="D28"/>
  <c r="D31"/>
  <c r="D29"/>
  <c r="D24"/>
  <c r="D27"/>
  <c r="D35"/>
  <c r="F9"/>
  <c r="E14" i="4"/>
  <c r="H17" i="6"/>
  <c r="H15"/>
  <c r="H18"/>
  <c r="H16"/>
  <c r="H14"/>
  <c r="F23" i="19"/>
  <c r="I10"/>
  <c r="K8" i="13"/>
  <c r="D14" i="19"/>
  <c r="D11"/>
  <c r="D7"/>
  <c r="D8"/>
  <c r="D12"/>
  <c r="D13"/>
  <c r="D10"/>
  <c r="D6"/>
  <c r="I17" i="13"/>
  <c r="B35"/>
  <c r="H10" i="6"/>
  <c r="M6" i="13"/>
  <c r="E24"/>
  <c r="I6"/>
  <c r="H4"/>
  <c r="D22"/>
  <c r="E11" i="4"/>
  <c r="E10"/>
  <c r="F4" i="13"/>
  <c r="H5" i="6"/>
  <c r="AC7" i="5"/>
  <c r="AC4"/>
  <c r="AC10"/>
  <c r="AC6"/>
  <c r="AC13"/>
  <c r="AC5"/>
  <c r="AC11"/>
  <c r="AC8"/>
  <c r="AC16"/>
  <c r="B24" i="13"/>
  <c r="D40"/>
  <c r="F16" i="4"/>
  <c r="F13"/>
  <c r="F12"/>
  <c r="F17"/>
  <c r="F15" i="13"/>
  <c r="F15" i="4"/>
  <c r="K10" i="19"/>
  <c r="C35" i="13"/>
  <c r="B34"/>
  <c r="B33"/>
  <c r="C25"/>
  <c r="F24"/>
  <c r="B32"/>
  <c r="F13"/>
  <c r="F19" i="4"/>
  <c r="F8" i="13"/>
  <c r="F14" i="4"/>
  <c r="F16" i="13"/>
  <c r="F5"/>
  <c r="F11" i="4"/>
  <c r="F17" i="13"/>
  <c r="F12"/>
  <c r="F18" i="4"/>
  <c r="M12" i="13"/>
  <c r="E30"/>
  <c r="M15"/>
  <c r="E33"/>
  <c r="M7"/>
  <c r="E25"/>
  <c r="M16"/>
  <c r="E34"/>
  <c r="M8"/>
  <c r="E26"/>
  <c r="M11"/>
  <c r="E29"/>
  <c r="M14"/>
  <c r="E32"/>
  <c r="M10"/>
  <c r="E28"/>
  <c r="M17"/>
  <c r="E35"/>
  <c r="M13"/>
  <c r="E31"/>
  <c r="M9"/>
  <c r="E27"/>
  <c r="I7" i="19"/>
  <c r="K5" i="13"/>
  <c r="I13" i="19"/>
  <c r="I12"/>
  <c r="I8"/>
  <c r="I6"/>
  <c r="I11"/>
  <c r="I14"/>
  <c r="F6" i="7"/>
  <c r="F10"/>
  <c r="F12"/>
  <c r="F9"/>
  <c r="F14"/>
  <c r="F11"/>
  <c r="F7"/>
  <c r="F13"/>
  <c r="H11" i="6"/>
  <c r="H8"/>
  <c r="H12"/>
  <c r="H6"/>
  <c r="H9"/>
  <c r="H13"/>
  <c r="H7"/>
  <c r="M5" i="13"/>
  <c r="E23"/>
  <c r="F5" i="7"/>
  <c r="F10" i="4"/>
  <c r="B26" i="13"/>
  <c r="B23"/>
  <c r="B28"/>
  <c r="B27"/>
  <c r="B29"/>
  <c r="K7" i="19"/>
  <c r="F25" i="13"/>
  <c r="F33"/>
  <c r="F28"/>
  <c r="F30"/>
  <c r="F35"/>
  <c r="F23"/>
  <c r="F26"/>
  <c r="F31"/>
  <c r="F27"/>
  <c r="F29"/>
  <c r="K16"/>
  <c r="G34"/>
  <c r="K13"/>
  <c r="K10"/>
  <c r="K12" i="19"/>
  <c r="K7" i="13"/>
  <c r="K13" i="19"/>
  <c r="K11" i="13"/>
  <c r="J14" i="19"/>
  <c r="K12" i="13"/>
  <c r="K14" i="19"/>
  <c r="K9" i="13"/>
  <c r="K11" i="19"/>
  <c r="K17" i="13"/>
  <c r="K6"/>
  <c r="K8" i="19"/>
  <c r="K14" i="13"/>
  <c r="K15"/>
  <c r="G33"/>
  <c r="F10" i="11"/>
  <c r="F11"/>
  <c r="F15"/>
  <c r="F12"/>
  <c r="F13"/>
  <c r="J8" i="19"/>
  <c r="J10"/>
  <c r="J6"/>
  <c r="J13"/>
  <c r="J7"/>
  <c r="J12"/>
  <c r="K6"/>
  <c r="K4" i="13"/>
  <c r="J11" i="19"/>
  <c r="M4" i="13"/>
  <c r="F6" i="11"/>
  <c r="F7"/>
  <c r="F8"/>
  <c r="E22" i="13"/>
  <c r="E40"/>
  <c r="B22"/>
  <c r="B40"/>
  <c r="F22"/>
  <c r="F40"/>
  <c r="I67" i="1"/>
  <c r="I68"/>
  <c r="B10" i="13"/>
  <c r="E67" i="1"/>
  <c r="E68"/>
  <c r="B6" i="13"/>
  <c r="F67" i="1"/>
  <c r="F68"/>
  <c r="B7" i="13"/>
  <c r="G25"/>
  <c r="C67" i="1"/>
  <c r="C68"/>
  <c r="B4" i="13"/>
  <c r="G67" i="1"/>
  <c r="G68"/>
  <c r="B8" i="13"/>
  <c r="L67" i="1"/>
  <c r="L68"/>
  <c r="B13" i="13"/>
  <c r="P67" i="1"/>
  <c r="B17" i="13"/>
  <c r="G35"/>
  <c r="K67" i="1"/>
  <c r="K68"/>
  <c r="B12" i="13"/>
  <c r="J67" i="1"/>
  <c r="J68"/>
  <c r="B11" i="13"/>
  <c r="D67" i="1"/>
  <c r="D68"/>
  <c r="B5" i="13"/>
  <c r="H67" i="1"/>
  <c r="H68"/>
  <c r="B9" i="13"/>
  <c r="D71" i="1"/>
  <c r="F71"/>
  <c r="H71"/>
  <c r="J71"/>
  <c r="L71"/>
  <c r="N71"/>
  <c r="P71"/>
  <c r="E71"/>
  <c r="G71"/>
  <c r="I71"/>
  <c r="K71"/>
  <c r="O71"/>
  <c r="C71"/>
  <c r="B14" i="13"/>
  <c r="G32"/>
  <c r="G29"/>
  <c r="C29"/>
  <c r="G26"/>
  <c r="C26"/>
  <c r="G28"/>
  <c r="C28"/>
  <c r="G27"/>
  <c r="C27"/>
  <c r="G23"/>
  <c r="C23"/>
  <c r="G30"/>
  <c r="C30"/>
  <c r="G31"/>
  <c r="C31"/>
  <c r="G24"/>
  <c r="C24"/>
  <c r="C22"/>
  <c r="G22"/>
  <c r="C40"/>
  <c r="H25"/>
  <c r="H33"/>
  <c r="H34"/>
  <c r="H35"/>
  <c r="H24"/>
  <c r="H31"/>
  <c r="H30"/>
  <c r="H23"/>
  <c r="H27"/>
  <c r="H32"/>
  <c r="H28"/>
  <c r="H26"/>
  <c r="H29"/>
  <c r="H22"/>
</calcChain>
</file>

<file path=xl/sharedStrings.xml><?xml version="1.0" encoding="utf-8"?>
<sst xmlns="http://schemas.openxmlformats.org/spreadsheetml/2006/main" count="722" uniqueCount="337">
  <si>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</si>
  <si>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</si>
  <si>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</si>
  <si>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</si>
  <si>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</si>
  <si>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</si>
  <si>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</si>
  <si>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</si>
  <si>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</si>
  <si>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</si>
  <si>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</si>
  <si>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</si>
  <si>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</si>
  <si>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</si>
  <si>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</si>
  <si>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</si>
  <si>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</si>
  <si>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</si>
  <si>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Performance</t>
  </si>
  <si>
    <t>Best</t>
  </si>
  <si>
    <t>Points</t>
  </si>
  <si>
    <t>Design</t>
  </si>
  <si>
    <t>Most</t>
  </si>
  <si>
    <t>Practical</t>
  </si>
  <si>
    <t>Value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</si>
  <si>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</si>
  <si>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</si>
  <si>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</si>
  <si>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</si>
  <si>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</si>
  <si>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</si>
  <si>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</si>
  <si>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</si>
  <si>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</si>
  <si>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Minimum Lap Time (s)</t>
  </si>
  <si>
    <t>Tmax =</t>
  </si>
  <si>
    <t>Tmin =</t>
  </si>
  <si>
    <t>Noise</t>
  </si>
  <si>
    <t>Acceleration</t>
  </si>
  <si>
    <t>Best Time (s)</t>
  </si>
  <si>
    <t>Fuel Type</t>
  </si>
  <si>
    <t>Late Oral</t>
  </si>
  <si>
    <t>Fuel</t>
  </si>
  <si>
    <t>Economy</t>
  </si>
  <si>
    <t>Cold</t>
  </si>
  <si>
    <t>Start</t>
  </si>
  <si>
    <t xml:space="preserve"> </t>
  </si>
  <si>
    <t>Objective</t>
  </si>
  <si>
    <t>Display</t>
  </si>
  <si>
    <t>Subjective</t>
  </si>
  <si>
    <t>Ride</t>
  </si>
  <si>
    <t>Comments</t>
  </si>
  <si>
    <t>Actual
Gallons
Consumed</t>
  </si>
  <si>
    <t>J192 Level</t>
  </si>
  <si>
    <t>Score</t>
  </si>
  <si>
    <t>Late Design 
Write-up/Fuel Selection</t>
  </si>
  <si>
    <t>Front Left</t>
  </si>
  <si>
    <t>Front Right</t>
  </si>
  <si>
    <t>Rear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</si>
  <si>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</si>
  <si>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</si>
  <si>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</si>
  <si>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</si>
  <si>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</si>
  <si>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</si>
  <si>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</si>
  <si>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</si>
  <si>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</si>
  <si>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</si>
  <si>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</si>
  <si>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Best Ride Winner (Denso)</t>
  </si>
  <si>
    <t>Best Design Winner (SAE)</t>
  </si>
  <si>
    <t>Best Fuel Economy Winner (Gage)</t>
  </si>
  <si>
    <t>Most Practical Winner (BRC)</t>
  </si>
  <si>
    <t>Best Value Winner (EMITEC)</t>
  </si>
  <si>
    <t>Best Handling (Polaris)</t>
  </si>
  <si>
    <t>Average</t>
  </si>
  <si>
    <t>Maximum</t>
  </si>
  <si>
    <t>Minimum</t>
  </si>
  <si>
    <t>Best Acceleration (Woody's)</t>
  </si>
  <si>
    <t>Subjective Points</t>
  </si>
  <si>
    <t>Total Noise</t>
  </si>
  <si>
    <t>Min=</t>
  </si>
  <si>
    <t xml:space="preserve"> Rank</t>
  </si>
  <si>
    <t>Tmax=</t>
  </si>
  <si>
    <t xml:space="preserve">  </t>
  </si>
  <si>
    <t>Lab Emissions</t>
  </si>
  <si>
    <t>In Service</t>
  </si>
  <si>
    <t>Notes: Penalties included in times</t>
  </si>
  <si>
    <t>Inspection
 Penalty</t>
  </si>
  <si>
    <t>Ranking</t>
  </si>
  <si>
    <t>CSC Points</t>
  </si>
  <si>
    <t>Best Emissions Winner (AVL)</t>
  </si>
  <si>
    <t>Lowest "In Service" Emissions (Sensors)</t>
  </si>
  <si>
    <t>FINAL EMISSIONS (grams/mile)</t>
  </si>
  <si>
    <t>No points for</t>
  </si>
  <si>
    <t>Weight</t>
  </si>
  <si>
    <t>Fuel consumed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</si>
  <si>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</si>
  <si>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</si>
  <si>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</si>
  <si>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</si>
  <si>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</si>
  <si>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</si>
  <si>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</si>
  <si>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</si>
  <si>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</si>
  <si>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</si>
  <si>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</si>
  <si>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E Score
&gt; 100</t>
  </si>
  <si>
    <t>Lab Emission Test</t>
  </si>
  <si>
    <t>Passing
E Scores</t>
  </si>
  <si>
    <t>Lab Emission Points</t>
  </si>
  <si>
    <t>Lab EmissionRanking</t>
  </si>
  <si>
    <t>Weighted BSFC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</si>
  <si>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</si>
  <si>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</si>
  <si>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</si>
  <si>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</si>
  <si>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</si>
  <si>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</si>
  <si>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</si>
  <si>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</si>
  <si>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Most Improved (Aristo)</t>
  </si>
  <si>
    <t>Safety Award (Talon)</t>
  </si>
  <si>
    <t>Justifying starting point for sled</t>
  </si>
  <si>
    <t>Justifying reason for component adds</t>
  </si>
  <si>
    <t>Quality of research in determining price</t>
  </si>
  <si>
    <t>Team</t>
  </si>
  <si>
    <t>(information only)</t>
  </si>
  <si>
    <t>on</t>
  </si>
  <si>
    <t>Test
Miles</t>
  </si>
  <si>
    <t>Comment</t>
  </si>
  <si>
    <t>First Place Winner Overall (ISMA)$1,000</t>
  </si>
  <si>
    <t>Second Place Winner Overall (YNP)$750</t>
  </si>
  <si>
    <t>Third Place Winner Overall (ACSA)$500</t>
  </si>
  <si>
    <t>Best Engine Design (Mahle)$500</t>
  </si>
  <si>
    <t>Most Sportsmanlike Winner  (AVL)$1000</t>
  </si>
  <si>
    <t>Soot
&lt; 0.1</t>
  </si>
  <si>
    <t>"y=mx+B'</t>
  </si>
  <si>
    <t>Y=score</t>
  </si>
  <si>
    <t>X=cost</t>
  </si>
  <si>
    <t>M=slope</t>
  </si>
  <si>
    <t>B=Y intercept at X=0</t>
  </si>
  <si>
    <t>Max=</t>
  </si>
  <si>
    <t>Max score points=</t>
  </si>
  <si>
    <t>Y=mx+b</t>
  </si>
  <si>
    <t>m=</t>
  </si>
  <si>
    <t>b=</t>
  </si>
  <si>
    <t>Linear curve</t>
  </si>
  <si>
    <t>y=mx+b</t>
  </si>
  <si>
    <t>Linear POINTS</t>
  </si>
  <si>
    <t xml:space="preserve">#1
Clarkson
University </t>
  </si>
  <si>
    <t>Design Paper
Judge Name</t>
  </si>
  <si>
    <t>Mimimum score is 5 points regardless of averaage</t>
  </si>
  <si>
    <t>Otherwise the average is the score.</t>
  </si>
  <si>
    <t xml:space="preserve">#1 Clarkson University </t>
  </si>
  <si>
    <t>Best Performance Winner (L&amp;S) Camoplat Trac</t>
  </si>
  <si>
    <t>Quietest Snowmobile Winner (PCB) Camoplact Trac</t>
  </si>
  <si>
    <t>HBPSI Trail Trac Award $500</t>
  </si>
  <si>
    <t>Linear Ranking on Price</t>
  </si>
  <si>
    <t>These scores are subjective from the judges for the respective categories.</t>
  </si>
  <si>
    <t>20 Points are given on a linear scale from low to high.</t>
  </si>
  <si>
    <t>Total Score</t>
  </si>
  <si>
    <t>Minimum score is 2.5 if they compete.</t>
  </si>
  <si>
    <t>Minimum score is 2.5 if they turn in an MSRP.</t>
  </si>
  <si>
    <t>Minimum score is 50 points if they show up and stay until allowed to leave.</t>
  </si>
  <si>
    <t>Notes</t>
  </si>
  <si>
    <t>Control Sled J192 Noise Level dBA</t>
  </si>
  <si>
    <t>Slope</t>
  </si>
  <si>
    <t>Minimum  rank</t>
  </si>
  <si>
    <t>Intercept</t>
  </si>
  <si>
    <t>Maximum rank</t>
  </si>
  <si>
    <t>or whatever the minumum is</t>
  </si>
  <si>
    <t>or whatever the control sled is</t>
  </si>
  <si>
    <t>Minimum score is 5 points as long as a report is submitted.</t>
  </si>
  <si>
    <t>Fuel Economy</t>
  </si>
  <si>
    <t>Minimum team J192 Sound Pressure Level =</t>
  </si>
  <si>
    <t>Sound Pressure</t>
  </si>
  <si>
    <t>Control Sled J192 Sound Pressure Level</t>
  </si>
  <si>
    <t>Sample result: -3dB in sound pressure = ~half the max score</t>
  </si>
  <si>
    <t>Lowest SPL gets 150 points</t>
  </si>
  <si>
    <t>SPL equal to or greater than control sled gets 7.5 points</t>
  </si>
  <si>
    <t>Note this page will be calculated by AVL in their computer.  Just copy and past results.</t>
  </si>
  <si>
    <t># of papers</t>
  </si>
  <si>
    <t>CO+NO+THC
g/mile</t>
  </si>
  <si>
    <t>m</t>
  </si>
  <si>
    <t>b</t>
  </si>
  <si>
    <t>#2
Kettering</t>
  </si>
  <si>
    <t xml:space="preserve">#3
Univ of Wisconsin Platteville </t>
  </si>
  <si>
    <t>#4
North Dakota State</t>
  </si>
  <si>
    <t>#5
Michigan Tech Univ</t>
  </si>
  <si>
    <t xml:space="preserve">#6
Univ of Wisconsin Madison </t>
  </si>
  <si>
    <t>#7
Univ of Idaho</t>
  </si>
  <si>
    <t>#1 Clarkston</t>
  </si>
  <si>
    <t>#2 Kettering</t>
  </si>
  <si>
    <t>#3 Univ of Wisconsin Platteville</t>
  </si>
  <si>
    <t>#4 North Dakota State</t>
  </si>
  <si>
    <t>#5 Michigan Tech</t>
  </si>
  <si>
    <t>#6 Univ of Wisconsin Madison</t>
  </si>
  <si>
    <t>#7 Univ of Idaho</t>
  </si>
  <si>
    <t>#6 Wisconsin Madison</t>
  </si>
  <si>
    <t>#3 Wisconsin Platteville</t>
  </si>
  <si>
    <t>#4 North Dakota</t>
  </si>
  <si>
    <t>#5 Michigan Tech Univ</t>
  </si>
  <si>
    <t xml:space="preserve">#2 Kettering </t>
  </si>
  <si>
    <t>#4 North Dakota Univ</t>
  </si>
  <si>
    <t>#3 Univ Wisconsin Platteville</t>
  </si>
  <si>
    <t>#6 Univ Wisconsin Madison</t>
  </si>
  <si>
    <t>#3 Univ. of Wisconsin Platteville</t>
  </si>
  <si>
    <t>#2 kettering</t>
  </si>
  <si>
    <t>SAE CSC 2013 Final Score Internal Combustion Class</t>
  </si>
  <si>
    <t>#9 Ecole de Technologie</t>
  </si>
  <si>
    <t>SAE CSC 2013 MSRP Results</t>
  </si>
  <si>
    <t>#10 Univ of Waterloo</t>
  </si>
  <si>
    <t>#11 SUNY Buffalo</t>
  </si>
  <si>
    <t>#12 Minnesota Duluth</t>
  </si>
  <si>
    <t>#13 Northern Illinois State</t>
  </si>
  <si>
    <t>#15 Rochester Inst of Tech</t>
  </si>
  <si>
    <t>#10
 Univ of Waterloo</t>
  </si>
  <si>
    <t>#11
 SUNY Buffalo</t>
  </si>
  <si>
    <t>#14
 Univ of Maine</t>
  </si>
  <si>
    <t xml:space="preserve">SAE CSC 2013 Subjective Ride Results - Event Coordinator </t>
  </si>
  <si>
    <t>SAE CSC 2013 Static Display Results</t>
  </si>
  <si>
    <t>SAE CSC 2013 Design Paper</t>
  </si>
  <si>
    <t>SAE CSC 2013 Fuel Economy/Endurance Results</t>
  </si>
  <si>
    <t>#9
Ecole de Technologie</t>
  </si>
  <si>
    <t>SAE CSC 2013 IC Engine Noise Testing</t>
  </si>
  <si>
    <t>SAE CSC 2013 Oral Presentation Results</t>
  </si>
  <si>
    <t>SAE CSC 2013 Acceleration Results</t>
  </si>
  <si>
    <t>SAE CSC 2013 Lab Emission Testing Results</t>
  </si>
  <si>
    <t>SAE CSC 2013 In Service Emission Testing Results</t>
  </si>
  <si>
    <t>SAE CSC 2013 Cold Start Results</t>
  </si>
  <si>
    <t>SAE CSC 2013 Objective Handling/Driveability Event Results</t>
  </si>
  <si>
    <t>SAE CSC 2013 IC Vehicle Weights</t>
  </si>
  <si>
    <t>Endurance</t>
  </si>
  <si>
    <t>If sled has dual mode only the best "E" score run is shown here</t>
  </si>
  <si>
    <t>#12 Minnesota Duluth - Withdrew</t>
  </si>
  <si>
    <t>#15 Rochester Inst of Tech - Withdrew</t>
  </si>
  <si>
    <t>#14 Univ of Maine - Withdrew</t>
  </si>
  <si>
    <t>Roger C</t>
  </si>
  <si>
    <t>John H</t>
  </si>
  <si>
    <t>Bob K</t>
  </si>
  <si>
    <t>Howard B</t>
  </si>
  <si>
    <t>Wayne M</t>
  </si>
  <si>
    <t>Tyler J</t>
  </si>
  <si>
    <t>Dave K</t>
  </si>
  <si>
    <t>Scott M</t>
  </si>
  <si>
    <t>John C</t>
  </si>
  <si>
    <t>WD</t>
  </si>
  <si>
    <t>#12 Minnesota Duluth - WD</t>
  </si>
  <si>
    <t>#14 Univ of Maine - WD</t>
  </si>
  <si>
    <t>#15 Rochester Inst of Tech - WD</t>
  </si>
  <si>
    <t xml:space="preserve">#14 Univ of Maine - WD </t>
  </si>
  <si>
    <t>#13 Northern Illinois State (did not Pass Safety Inspection)</t>
  </si>
  <si>
    <t>Howard H</t>
  </si>
  <si>
    <t>Gas</t>
  </si>
  <si>
    <t>Diesel</t>
  </si>
  <si>
    <t>DNF</t>
  </si>
  <si>
    <t>NA</t>
  </si>
  <si>
    <t>Dan M</t>
  </si>
  <si>
    <t>William A</t>
  </si>
  <si>
    <t>Jeff G</t>
  </si>
  <si>
    <t>Balhard</t>
  </si>
  <si>
    <t>Rich G</t>
  </si>
  <si>
    <t>L J O</t>
  </si>
  <si>
    <t>Tim N</t>
  </si>
  <si>
    <t>Todd C</t>
  </si>
  <si>
    <t>Judy B</t>
  </si>
  <si>
    <t>Greg B</t>
  </si>
  <si>
    <t>Ray W</t>
  </si>
  <si>
    <t>Alex G</t>
  </si>
  <si>
    <t>Kowalski</t>
  </si>
  <si>
    <t>M Sch</t>
  </si>
  <si>
    <t>P Sch</t>
  </si>
  <si>
    <t>Derek F</t>
  </si>
  <si>
    <t>Kyle S</t>
  </si>
  <si>
    <t>Ron M</t>
  </si>
  <si>
    <t>Andrews</t>
  </si>
  <si>
    <t>Denton</t>
  </si>
  <si>
    <t>Kay L</t>
  </si>
  <si>
    <t>Srik R</t>
  </si>
  <si>
    <t>Ron C</t>
  </si>
  <si>
    <t>Steve D</t>
  </si>
  <si>
    <t>Leon L</t>
  </si>
  <si>
    <t>Don E</t>
  </si>
  <si>
    <t>Ryan</t>
  </si>
  <si>
    <t>Kristie</t>
  </si>
  <si>
    <t>P Kaub</t>
  </si>
  <si>
    <t>Merv</t>
  </si>
  <si>
    <t>Arm S</t>
  </si>
  <si>
    <t>Bob Mc</t>
  </si>
  <si>
    <t>DAK</t>
  </si>
  <si>
    <t>LJO</t>
  </si>
  <si>
    <t>Kurt P</t>
  </si>
  <si>
    <t>Joe R</t>
  </si>
  <si>
    <t>C Schiele</t>
  </si>
  <si>
    <t>Lee M</t>
  </si>
  <si>
    <t>Armando</t>
  </si>
  <si>
    <t>Katrik</t>
  </si>
  <si>
    <t>Dave H</t>
  </si>
  <si>
    <t>Hung-Li</t>
  </si>
  <si>
    <t>Schapton</t>
  </si>
  <si>
    <t>Oliver P</t>
  </si>
  <si>
    <t>C Duke</t>
  </si>
  <si>
    <t>Parker</t>
  </si>
  <si>
    <t>Nick H</t>
  </si>
  <si>
    <t>Kris Z</t>
  </si>
  <si>
    <t>Matt P</t>
  </si>
  <si>
    <t>Josh De</t>
  </si>
  <si>
    <t>Tim C</t>
  </si>
  <si>
    <t>DNC</t>
  </si>
  <si>
    <t>Peter J</t>
  </si>
  <si>
    <t>Jim C</t>
  </si>
  <si>
    <t>Jeff C</t>
  </si>
  <si>
    <t>Nehmer</t>
  </si>
  <si>
    <t>Bonneau</t>
  </si>
  <si>
    <t>SAE CSC 2013 Penalties</t>
  </si>
  <si>
    <t>Team on time, sled not ready. 3 hr before pass dynamic test.</t>
  </si>
  <si>
    <t>Sled not ready, onlyavailable right @ 4 hr cutoff.</t>
  </si>
  <si>
    <t>Sled ready, team 3 hrs late to register, also late for fueling.</t>
  </si>
  <si>
    <t>Hugh Blax</t>
  </si>
  <si>
    <t>Rank</t>
  </si>
  <si>
    <t>#12 Minnesota Duluth -WD</t>
  </si>
  <si>
    <t>Run 1 Lap Time (s)</t>
  </si>
  <si>
    <t>Run 2 Lap Time (s)</t>
  </si>
  <si>
    <t>Fail</t>
  </si>
  <si>
    <t>Pass</t>
  </si>
  <si>
    <t>DQ'd</t>
  </si>
  <si>
    <t>Sled unable to reach 45 MPH on course</t>
  </si>
  <si>
    <t>Top Speed</t>
  </si>
  <si>
    <t>Innovation (BASF)$500</t>
  </si>
  <si>
    <t>Heaviest</t>
  </si>
  <si>
    <t>Lightest</t>
  </si>
  <si>
    <t>If sled has dual mode only the best BSFE score of the two runs is shown here</t>
  </si>
  <si>
    <t>Best Paper Schwegman, Lundberg, Woessner</t>
  </si>
  <si>
    <t xml:space="preserve">and 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</si>
</sst>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\$#,##0.00"/>
    <numFmt numFmtId="169" formatCode="0.000000"/>
    <numFmt numFmtId="170" formatCode="0.0000"/>
  </numFmts>
  <fonts count="5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2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38" fillId="2" borderId="0" applyNumberFormat="0" applyBorder="0" applyAlignment="0" applyProtection="0"/>
    <xf numFmtId="44" fontId="39" fillId="0" borderId="0" applyFont="0" applyFill="0" applyBorder="0" applyAlignment="0" applyProtection="0"/>
    <xf numFmtId="0" fontId="5" fillId="0" borderId="0"/>
    <xf numFmtId="0" fontId="6" fillId="0" borderId="0"/>
  </cellStyleXfs>
  <cellXfs count="487">
    <xf numFmtId="0" fontId="0" fillId="0" borderId="0" xfId="0"/>
    <xf numFmtId="0" fontId="0" fillId="0" borderId="0" xfId="0" applyBorder="1"/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7" fillId="0" borderId="0" xfId="0" applyFont="1" applyAlignment="1" applyProtection="1">
      <alignment horizontal="center"/>
    </xf>
    <xf numFmtId="0" fontId="0" fillId="0" borderId="0" xfId="0" applyProtection="1"/>
    <xf numFmtId="0" fontId="12" fillId="0" borderId="0" xfId="0" applyFont="1" applyProtection="1"/>
    <xf numFmtId="0" fontId="8" fillId="0" borderId="0" xfId="0" applyFont="1" applyProtection="1"/>
    <xf numFmtId="0" fontId="0" fillId="0" borderId="0" xfId="0" applyAlignment="1" applyProtection="1">
      <alignment horizontal="right"/>
    </xf>
    <xf numFmtId="0" fontId="7" fillId="0" borderId="0" xfId="0" applyFont="1" applyProtection="1"/>
    <xf numFmtId="0" fontId="7" fillId="0" borderId="0" xfId="0" applyFont="1" applyFill="1" applyBorder="1" applyProtection="1"/>
    <xf numFmtId="0" fontId="0" fillId="0" borderId="0" xfId="0" applyFill="1" applyBorder="1" applyProtection="1"/>
    <xf numFmtId="0" fontId="7" fillId="0" borderId="0" xfId="0" applyFont="1" applyAlignment="1" applyProtection="1">
      <alignment horizontal="right"/>
    </xf>
    <xf numFmtId="0" fontId="10" fillId="0" borderId="0" xfId="0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10" fillId="0" borderId="0" xfId="0" applyFont="1" applyFill="1" applyBorder="1" applyProtection="1"/>
    <xf numFmtId="1" fontId="7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10" fillId="0" borderId="0" xfId="0" applyFont="1" applyAlignment="1" applyProtection="1">
      <alignment horizontal="center"/>
    </xf>
    <xf numFmtId="0" fontId="11" fillId="0" borderId="0" xfId="0" applyFont="1" applyProtection="1"/>
    <xf numFmtId="0" fontId="11" fillId="0" borderId="0" xfId="0" applyFont="1" applyFill="1" applyBorder="1"/>
    <xf numFmtId="0" fontId="10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4" fillId="0" borderId="0" xfId="0" applyFont="1"/>
    <xf numFmtId="0" fontId="11" fillId="0" borderId="0" xfId="0" applyFont="1" applyFill="1" applyBorder="1" applyAlignment="1" applyProtection="1">
      <alignment horizontal="right"/>
    </xf>
    <xf numFmtId="1" fontId="7" fillId="0" borderId="0" xfId="0" applyNumberFormat="1" applyFont="1" applyAlignment="1" applyProtection="1">
      <alignment horizontal="right"/>
    </xf>
    <xf numFmtId="0" fontId="11" fillId="0" borderId="0" xfId="0" applyFont="1" applyAlignment="1" applyProtection="1">
      <alignment horizontal="center"/>
    </xf>
    <xf numFmtId="44" fontId="13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11" fillId="0" borderId="0" xfId="0" applyNumberFormat="1" applyFont="1" applyAlignment="1" applyProtection="1">
      <alignment horizontal="right"/>
    </xf>
    <xf numFmtId="1" fontId="10" fillId="0" borderId="0" xfId="0" applyNumberFormat="1" applyFont="1" applyAlignment="1" applyProtection="1">
      <alignment horizontal="center"/>
    </xf>
    <xf numFmtId="1" fontId="11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center" wrapText="1"/>
    </xf>
    <xf numFmtId="1" fontId="9" fillId="0" borderId="0" xfId="0" applyNumberFormat="1" applyFont="1" applyAlignment="1" applyProtection="1">
      <alignment horizontal="right"/>
    </xf>
    <xf numFmtId="0" fontId="9" fillId="0" borderId="0" xfId="0" applyFont="1" applyProtection="1"/>
    <xf numFmtId="0" fontId="10" fillId="0" borderId="0" xfId="0" applyFont="1" applyFill="1" applyBorder="1" applyAlignment="1" applyProtection="1">
      <alignment horizontal="center" wrapText="1"/>
    </xf>
    <xf numFmtId="164" fontId="11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 applyProtection="1">
      <alignment horizontal="center"/>
    </xf>
    <xf numFmtId="0" fontId="12" fillId="0" borderId="0" xfId="0" applyFont="1" applyFill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11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11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7" fillId="0" borderId="0" xfId="0" applyFont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7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9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10" fillId="0" borderId="0" xfId="0" applyNumberFormat="1" applyFont="1" applyFill="1" applyBorder="1" applyAlignment="1" applyProtection="1">
      <alignment horizontal="center"/>
    </xf>
    <xf numFmtId="0" fontId="15" fillId="0" borderId="0" xfId="0" applyFont="1" applyProtection="1"/>
    <xf numFmtId="0" fontId="15" fillId="0" borderId="0" xfId="0" applyFont="1"/>
    <xf numFmtId="0" fontId="7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9" fillId="0" borderId="0" xfId="0" applyFont="1"/>
    <xf numFmtId="0" fontId="9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7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1" fillId="0" borderId="0" xfId="0" quotePrefix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wrapText="1"/>
    </xf>
    <xf numFmtId="0" fontId="10" fillId="0" borderId="0" xfId="0" applyFont="1" applyAlignment="1" applyProtection="1">
      <alignment horizontal="left"/>
    </xf>
    <xf numFmtId="1" fontId="10" fillId="0" borderId="0" xfId="0" applyNumberFormat="1" applyFont="1" applyAlignment="1" applyProtection="1">
      <alignment horizontal="right"/>
    </xf>
    <xf numFmtId="1" fontId="9" fillId="0" borderId="0" xfId="0" applyNumberFormat="1" applyFont="1" applyAlignment="1" applyProtection="1">
      <alignment horizontal="center"/>
    </xf>
    <xf numFmtId="165" fontId="9" fillId="0" borderId="0" xfId="0" applyNumberFormat="1" applyFont="1" applyProtection="1"/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Border="1" applyAlignment="1" applyProtection="1"/>
    <xf numFmtId="0" fontId="16" fillId="0" borderId="0" xfId="0" applyFont="1" applyBorder="1" applyProtection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0" fontId="16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/>
    <xf numFmtId="0" fontId="17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Fill="1" applyBorder="1" applyAlignment="1" applyProtection="1">
      <alignment horizontal="center"/>
    </xf>
    <xf numFmtId="0" fontId="16" fillId="0" borderId="0" xfId="0" applyFont="1" applyAlignment="1"/>
    <xf numFmtId="2" fontId="16" fillId="0" borderId="0" xfId="0" applyNumberFormat="1" applyFont="1" applyFill="1" applyBorder="1" applyAlignment="1" applyProtection="1">
      <alignment horizontal="center"/>
    </xf>
    <xf numFmtId="164" fontId="16" fillId="0" borderId="0" xfId="0" applyNumberFormat="1" applyFont="1" applyFill="1" applyBorder="1" applyAlignment="1" applyProtection="1"/>
    <xf numFmtId="164" fontId="16" fillId="0" borderId="0" xfId="0" applyNumberFormat="1" applyFont="1" applyFill="1" applyAlignment="1" applyProtection="1"/>
    <xf numFmtId="164" fontId="16" fillId="0" borderId="0" xfId="0" applyNumberFormat="1" applyFont="1" applyFill="1" applyProtection="1"/>
    <xf numFmtId="164" fontId="16" fillId="0" borderId="0" xfId="0" applyNumberFormat="1" applyFont="1" applyFill="1"/>
    <xf numFmtId="164" fontId="16" fillId="0" borderId="0" xfId="0" applyNumberFormat="1" applyFont="1" applyFill="1" applyAlignment="1">
      <alignment horizontal="center"/>
    </xf>
    <xf numFmtId="0" fontId="17" fillId="0" borderId="0" xfId="0" applyFont="1" applyBorder="1" applyAlignment="1" applyProtection="1">
      <alignment horizontal="center"/>
    </xf>
    <xf numFmtId="2" fontId="17" fillId="0" borderId="0" xfId="0" applyNumberFormat="1" applyFont="1" applyFill="1" applyBorder="1" applyAlignment="1" applyProtection="1">
      <alignment horizontal="center"/>
    </xf>
    <xf numFmtId="166" fontId="17" fillId="0" borderId="0" xfId="0" applyNumberFormat="1" applyFont="1" applyFill="1" applyBorder="1" applyAlignment="1" applyProtection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Protection="1"/>
    <xf numFmtId="2" fontId="17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164" fontId="16" fillId="0" borderId="0" xfId="0" applyNumberFormat="1" applyFont="1" applyFill="1" applyBorder="1"/>
    <xf numFmtId="164" fontId="16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 applyProtection="1">
      <alignment horizontal="center"/>
    </xf>
    <xf numFmtId="164" fontId="17" fillId="0" borderId="0" xfId="0" applyNumberFormat="1" applyFont="1" applyFill="1" applyBorder="1" applyAlignment="1">
      <alignment horizontal="center"/>
    </xf>
    <xf numFmtId="166" fontId="16" fillId="0" borderId="0" xfId="0" applyNumberFormat="1" applyFont="1" applyFill="1" applyBorder="1" applyAlignment="1" applyProtection="1">
      <alignment horizontal="center"/>
    </xf>
    <xf numFmtId="14" fontId="16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0" xfId="0" applyFont="1" applyBorder="1" applyAlignment="1" applyProtection="1">
      <alignment horizontal="center"/>
    </xf>
    <xf numFmtId="0" fontId="18" fillId="0" borderId="0" xfId="0" applyFont="1" applyProtection="1"/>
    <xf numFmtId="0" fontId="11" fillId="0" borderId="0" xfId="0" applyFont="1" applyAlignment="1" applyProtection="1"/>
    <xf numFmtId="0" fontId="10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/>
    <xf numFmtId="0" fontId="10" fillId="0" borderId="0" xfId="0" applyFont="1" applyFill="1" applyBorder="1" applyAlignment="1" applyProtection="1"/>
    <xf numFmtId="1" fontId="10" fillId="0" borderId="0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2" fontId="11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/>
    <xf numFmtId="167" fontId="11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11" fillId="0" borderId="0" xfId="0" applyFont="1" applyFill="1" applyBorder="1" applyAlignment="1" applyProtection="1">
      <alignment horizontal="center" wrapText="1"/>
    </xf>
    <xf numFmtId="165" fontId="10" fillId="0" borderId="0" xfId="0" applyNumberFormat="1" applyFont="1" applyFill="1" applyBorder="1" applyProtection="1"/>
    <xf numFmtId="0" fontId="7" fillId="0" borderId="0" xfId="0" applyFont="1"/>
    <xf numFmtId="2" fontId="7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center"/>
    </xf>
    <xf numFmtId="0" fontId="20" fillId="0" borderId="0" xfId="0" applyFont="1" applyProtection="1"/>
    <xf numFmtId="0" fontId="19" fillId="0" borderId="0" xfId="0" applyFont="1" applyProtection="1"/>
    <xf numFmtId="0" fontId="22" fillId="0" borderId="0" xfId="0" applyFont="1" applyFill="1" applyBorder="1" applyAlignment="1" applyProtection="1">
      <alignment horizontal="left"/>
    </xf>
    <xf numFmtId="0" fontId="22" fillId="0" borderId="0" xfId="0" applyFont="1" applyAlignment="1">
      <alignment horizontal="left"/>
    </xf>
    <xf numFmtId="0" fontId="19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0" borderId="0" xfId="0" applyFont="1" applyAlignment="1" applyProtection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167" fontId="20" fillId="0" borderId="0" xfId="0" applyNumberFormat="1" applyFont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1" fontId="20" fillId="0" borderId="0" xfId="0" applyNumberFormat="1" applyFont="1" applyFill="1" applyAlignment="1" applyProtection="1">
      <alignment horizontal="center"/>
    </xf>
    <xf numFmtId="1" fontId="20" fillId="0" borderId="0" xfId="0" applyNumberFormat="1" applyFont="1" applyAlignment="1" applyProtection="1">
      <alignment horizontal="center"/>
    </xf>
    <xf numFmtId="164" fontId="24" fillId="0" borderId="0" xfId="0" applyNumberFormat="1" applyFont="1" applyAlignment="1" applyProtection="1">
      <alignment horizontal="center"/>
    </xf>
    <xf numFmtId="0" fontId="19" fillId="0" borderId="0" xfId="0" applyFont="1" applyAlignment="1" applyProtection="1">
      <alignment horizontal="center"/>
    </xf>
    <xf numFmtId="167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Alignment="1" applyProtection="1"/>
    <xf numFmtId="0" fontId="20" fillId="0" borderId="0" xfId="0" applyFont="1" applyFill="1"/>
    <xf numFmtId="0" fontId="20" fillId="0" borderId="0" xfId="0" applyFont="1" applyFill="1" applyBorder="1" applyAlignment="1" applyProtection="1">
      <alignment horizontal="right"/>
    </xf>
    <xf numFmtId="1" fontId="24" fillId="0" borderId="0" xfId="0" applyNumberFormat="1" applyFont="1" applyAlignment="1" applyProtection="1">
      <alignment horizontal="right"/>
    </xf>
    <xf numFmtId="164" fontId="19" fillId="0" borderId="0" xfId="0" applyNumberFormat="1" applyFont="1" applyAlignment="1" applyProtection="1">
      <alignment horizontal="center"/>
    </xf>
    <xf numFmtId="1" fontId="8" fillId="0" borderId="0" xfId="0" applyNumberFormat="1" applyFont="1" applyProtection="1"/>
    <xf numFmtId="0" fontId="11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6" fillId="0" borderId="0" xfId="0" applyFont="1" applyAlignment="1" applyProtection="1">
      <alignment horizontal="center" wrapText="1"/>
    </xf>
    <xf numFmtId="0" fontId="20" fillId="0" borderId="0" xfId="0" applyFont="1" applyFill="1" applyBorder="1" applyProtection="1"/>
    <xf numFmtId="2" fontId="9" fillId="0" borderId="0" xfId="0" applyNumberFormat="1" applyFont="1" applyAlignment="1" applyProtection="1">
      <alignment horizontal="center"/>
    </xf>
    <xf numFmtId="1" fontId="11" fillId="0" borderId="0" xfId="0" applyNumberFormat="1" applyFont="1" applyAlignment="1" applyProtection="1">
      <alignment horizontal="left"/>
    </xf>
    <xf numFmtId="0" fontId="25" fillId="0" borderId="0" xfId="0" applyFont="1"/>
    <xf numFmtId="0" fontId="25" fillId="0" borderId="0" xfId="0" applyFont="1" applyProtection="1"/>
    <xf numFmtId="0" fontId="9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0" fontId="6" fillId="0" borderId="0" xfId="0" applyFont="1"/>
    <xf numFmtId="2" fontId="9" fillId="0" borderId="0" xfId="0" applyNumberFormat="1" applyFont="1" applyFill="1" applyBorder="1" applyAlignment="1" applyProtection="1">
      <alignment horizontal="center"/>
    </xf>
    <xf numFmtId="1" fontId="7" fillId="0" borderId="0" xfId="0" applyNumberFormat="1" applyFont="1" applyProtection="1"/>
    <xf numFmtId="1" fontId="7" fillId="0" borderId="0" xfId="0" applyNumberFormat="1" applyFont="1" applyFill="1" applyBorder="1" applyAlignment="1" applyProtection="1">
      <alignment horizontal="center"/>
    </xf>
    <xf numFmtId="164" fontId="7" fillId="0" borderId="0" xfId="0" quotePrefix="1" applyNumberFormat="1" applyFont="1" applyBorder="1" applyAlignment="1" applyProtection="1">
      <alignment horizontal="center"/>
    </xf>
    <xf numFmtId="1" fontId="7" fillId="0" borderId="0" xfId="0" applyNumberFormat="1" applyFont="1" applyBorder="1" applyAlignment="1" applyProtection="1">
      <alignment horizontal="center"/>
    </xf>
    <xf numFmtId="164" fontId="7" fillId="0" borderId="0" xfId="0" applyNumberFormat="1" applyFont="1" applyBorder="1" applyAlignment="1" applyProtection="1">
      <alignment horizontal="right"/>
    </xf>
    <xf numFmtId="164" fontId="7" fillId="0" borderId="0" xfId="0" applyNumberFormat="1" applyFont="1" applyBorder="1" applyAlignment="1" applyProtection="1">
      <alignment horizontal="left"/>
    </xf>
    <xf numFmtId="164" fontId="11" fillId="0" borderId="0" xfId="0" applyNumberFormat="1" applyFont="1" applyFill="1"/>
    <xf numFmtId="2" fontId="7" fillId="0" borderId="0" xfId="0" applyNumberFormat="1" applyFont="1" applyAlignment="1">
      <alignment horizontal="center"/>
    </xf>
    <xf numFmtId="0" fontId="28" fillId="0" borderId="0" xfId="0" applyFont="1" applyAlignment="1">
      <alignment horizontal="justify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2" fontId="16" fillId="0" borderId="0" xfId="0" applyNumberFormat="1" applyFont="1" applyFill="1" applyBorder="1" applyAlignment="1" applyProtection="1">
      <alignment horizontal="left"/>
    </xf>
    <xf numFmtId="0" fontId="9" fillId="0" borderId="0" xfId="0" applyFont="1" applyAlignment="1"/>
    <xf numFmtId="0" fontId="27" fillId="0" borderId="0" xfId="0" applyFont="1" applyAlignment="1">
      <alignment horizontal="center"/>
    </xf>
    <xf numFmtId="1" fontId="21" fillId="0" borderId="0" xfId="0" applyNumberFormat="1" applyFont="1" applyAlignment="1" applyProtection="1">
      <alignment horizontal="center"/>
    </xf>
    <xf numFmtId="164" fontId="19" fillId="0" borderId="2" xfId="0" applyNumberFormat="1" applyFont="1" applyBorder="1" applyAlignment="1">
      <alignment horizontal="center"/>
    </xf>
    <xf numFmtId="1" fontId="19" fillId="0" borderId="0" xfId="0" applyNumberFormat="1" applyFont="1" applyAlignment="1" applyProtection="1">
      <alignment horizontal="center"/>
    </xf>
    <xf numFmtId="166" fontId="19" fillId="0" borderId="0" xfId="0" applyNumberFormat="1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19" fillId="0" borderId="0" xfId="0" applyFont="1" applyFill="1"/>
    <xf numFmtId="0" fontId="9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/>
    </xf>
    <xf numFmtId="0" fontId="30" fillId="0" borderId="0" xfId="0" applyFont="1"/>
    <xf numFmtId="0" fontId="9" fillId="0" borderId="0" xfId="0" applyFont="1" applyFill="1" applyBorder="1" applyAlignment="1" applyProtection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0" xfId="0" applyFont="1" applyAlignment="1" applyProtection="1">
      <alignment horizontal="left"/>
    </xf>
    <xf numFmtId="2" fontId="9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2" fontId="0" fillId="0" borderId="0" xfId="0" applyNumberFormat="1" applyAlignment="1" applyProtection="1">
      <alignment horizontal="left"/>
    </xf>
    <xf numFmtId="1" fontId="9" fillId="0" borderId="2" xfId="0" applyNumberFormat="1" applyFont="1" applyFill="1" applyBorder="1" applyAlignment="1" applyProtection="1">
      <alignment horizontal="center"/>
    </xf>
    <xf numFmtId="0" fontId="9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9" fillId="0" borderId="0" xfId="0" applyNumberFormat="1" applyFont="1" applyProtection="1"/>
    <xf numFmtId="2" fontId="11" fillId="0" borderId="0" xfId="0" applyNumberFormat="1" applyFont="1" applyProtection="1"/>
    <xf numFmtId="1" fontId="0" fillId="0" borderId="0" xfId="0" applyNumberFormat="1" applyBorder="1"/>
    <xf numFmtId="0" fontId="9" fillId="0" borderId="0" xfId="0" applyFont="1" applyBorder="1" applyAlignment="1">
      <alignment horizontal="left" wrapText="1"/>
    </xf>
    <xf numFmtId="164" fontId="9" fillId="0" borderId="2" xfId="0" applyNumberFormat="1" applyFont="1" applyBorder="1" applyAlignment="1">
      <alignment horizontal="left"/>
    </xf>
    <xf numFmtId="1" fontId="32" fillId="0" borderId="0" xfId="0" applyNumberFormat="1" applyFont="1" applyAlignment="1" applyProtection="1">
      <alignment horizontal="right"/>
    </xf>
    <xf numFmtId="0" fontId="32" fillId="0" borderId="0" xfId="0" applyFont="1" applyProtection="1"/>
    <xf numFmtId="0" fontId="33" fillId="0" borderId="0" xfId="0" applyFont="1"/>
    <xf numFmtId="0" fontId="32" fillId="0" borderId="0" xfId="0" applyFont="1"/>
    <xf numFmtId="1" fontId="9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164" fontId="33" fillId="0" borderId="0" xfId="0" applyNumberFormat="1" applyFont="1"/>
    <xf numFmtId="0" fontId="33" fillId="0" borderId="0" xfId="0" applyFont="1" applyProtection="1"/>
    <xf numFmtId="0" fontId="7" fillId="0" borderId="3" xfId="0" applyFont="1" applyBorder="1" applyAlignment="1">
      <alignment horizontal="centerContinuous"/>
    </xf>
    <xf numFmtId="0" fontId="11" fillId="0" borderId="0" xfId="0" applyFont="1" applyAlignment="1" applyProtection="1">
      <alignment horizontal="centerContinuous"/>
    </xf>
    <xf numFmtId="0" fontId="11" fillId="0" borderId="4" xfId="0" applyFont="1" applyBorder="1" applyAlignment="1" applyProtection="1">
      <alignment horizontal="centerContinuous"/>
    </xf>
    <xf numFmtId="0" fontId="11" fillId="0" borderId="5" xfId="0" applyFont="1" applyBorder="1" applyAlignment="1" applyProtection="1">
      <alignment horizontal="centerContinuous"/>
    </xf>
    <xf numFmtId="0" fontId="11" fillId="0" borderId="3" xfId="0" applyFont="1" applyBorder="1" applyAlignment="1" applyProtection="1">
      <alignment horizontal="centerContinuous"/>
    </xf>
    <xf numFmtId="0" fontId="11" fillId="0" borderId="7" xfId="0" applyFont="1" applyFill="1" applyBorder="1" applyProtection="1"/>
    <xf numFmtId="0" fontId="11" fillId="0" borderId="6" xfId="0" applyFont="1" applyFill="1" applyBorder="1" applyProtection="1"/>
    <xf numFmtId="0" fontId="7" fillId="0" borderId="0" xfId="0" applyFont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2" fontId="9" fillId="0" borderId="12" xfId="0" applyNumberFormat="1" applyFont="1" applyFill="1" applyBorder="1" applyAlignment="1" applyProtection="1">
      <alignment horizontal="right"/>
    </xf>
    <xf numFmtId="164" fontId="16" fillId="0" borderId="12" xfId="0" applyNumberFormat="1" applyFont="1" applyFill="1" applyBorder="1" applyAlignment="1" applyProtection="1">
      <alignment horizontal="center"/>
    </xf>
    <xf numFmtId="0" fontId="7" fillId="0" borderId="13" xfId="0" applyFont="1" applyBorder="1" applyAlignment="1">
      <alignment horizontal="center"/>
    </xf>
    <xf numFmtId="2" fontId="16" fillId="0" borderId="12" xfId="0" applyNumberFormat="1" applyFont="1" applyFill="1" applyBorder="1" applyAlignment="1" applyProtection="1">
      <alignment horizontal="center"/>
    </xf>
    <xf numFmtId="2" fontId="9" fillId="0" borderId="2" xfId="0" applyNumberFormat="1" applyFont="1" applyFill="1" applyBorder="1" applyAlignment="1" applyProtection="1">
      <alignment horizontal="right"/>
    </xf>
    <xf numFmtId="164" fontId="16" fillId="0" borderId="2" xfId="0" applyNumberFormat="1" applyFont="1" applyFill="1" applyBorder="1" applyAlignment="1" applyProtection="1">
      <alignment horizontal="center"/>
    </xf>
    <xf numFmtId="2" fontId="16" fillId="0" borderId="2" xfId="0" applyNumberFormat="1" applyFont="1" applyFill="1" applyBorder="1" applyAlignment="1" applyProtection="1">
      <alignment horizontal="center"/>
    </xf>
    <xf numFmtId="1" fontId="32" fillId="0" borderId="0" xfId="0" applyNumberFormat="1" applyFont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164" fontId="6" fillId="0" borderId="2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/>
    </xf>
    <xf numFmtId="164" fontId="10" fillId="0" borderId="2" xfId="0" applyNumberFormat="1" applyFont="1" applyFill="1" applyBorder="1" applyAlignment="1" applyProtection="1">
      <alignment horizontal="center"/>
    </xf>
    <xf numFmtId="0" fontId="34" fillId="0" borderId="0" xfId="0" applyFont="1"/>
    <xf numFmtId="0" fontId="33" fillId="0" borderId="0" xfId="0" applyFont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164" fontId="33" fillId="0" borderId="2" xfId="0" applyNumberFormat="1" applyFont="1" applyBorder="1" applyAlignment="1">
      <alignment horizontal="center"/>
    </xf>
    <xf numFmtId="167" fontId="33" fillId="0" borderId="0" xfId="0" applyNumberFormat="1" applyFont="1" applyAlignment="1" applyProtection="1">
      <alignment horizontal="center"/>
    </xf>
    <xf numFmtId="0" fontId="32" fillId="0" borderId="11" xfId="0" applyFont="1" applyBorder="1" applyAlignment="1">
      <alignment horizontal="center"/>
    </xf>
    <xf numFmtId="0" fontId="33" fillId="0" borderId="0" xfId="0" applyFont="1" applyAlignment="1" applyProtection="1"/>
    <xf numFmtId="0" fontId="33" fillId="0" borderId="0" xfId="0" applyFont="1" applyFill="1"/>
    <xf numFmtId="167" fontId="33" fillId="0" borderId="0" xfId="0" applyNumberFormat="1" applyFont="1" applyFill="1" applyBorder="1" applyAlignment="1" applyProtection="1">
      <alignment horizontal="center"/>
    </xf>
    <xf numFmtId="0" fontId="33" fillId="0" borderId="0" xfId="0" applyFont="1" applyAlignment="1"/>
    <xf numFmtId="0" fontId="33" fillId="0" borderId="0" xfId="0" applyFont="1" applyFill="1" applyBorder="1" applyAlignment="1" applyProtection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 applyProtection="1"/>
    <xf numFmtId="1" fontId="6" fillId="0" borderId="2" xfId="0" applyNumberFormat="1" applyFont="1" applyFill="1" applyBorder="1" applyAlignment="1" applyProtection="1">
      <alignment horizontal="center"/>
    </xf>
    <xf numFmtId="2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Alignment="1" applyProtection="1">
      <alignment horizontal="center"/>
    </xf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Fill="1" applyBorder="1" applyProtection="1"/>
    <xf numFmtId="0" fontId="36" fillId="0" borderId="0" xfId="0" applyFont="1" applyProtection="1"/>
    <xf numFmtId="0" fontId="36" fillId="0" borderId="0" xfId="0" applyFont="1"/>
    <xf numFmtId="1" fontId="6" fillId="0" borderId="0" xfId="0" applyNumberFormat="1" applyFont="1" applyAlignment="1" applyProtection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 applyProtection="1">
      <alignment horizontal="right"/>
    </xf>
    <xf numFmtId="0" fontId="27" fillId="0" borderId="0" xfId="0" applyFont="1" applyFill="1" applyBorder="1" applyAlignment="1">
      <alignment horizontal="center"/>
    </xf>
    <xf numFmtId="0" fontId="6" fillId="0" borderId="0" xfId="0" applyFont="1" applyFill="1" applyBorder="1" applyAlignment="1" applyProtection="1">
      <alignment horizontal="center"/>
    </xf>
    <xf numFmtId="1" fontId="6" fillId="0" borderId="0" xfId="0" applyNumberFormat="1" applyFont="1" applyFill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Border="1" applyProtection="1"/>
    <xf numFmtId="0" fontId="6" fillId="0" borderId="0" xfId="0" applyFont="1" applyBorder="1"/>
    <xf numFmtId="165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168" fontId="7" fillId="0" borderId="0" xfId="0" applyNumberFormat="1" applyFont="1" applyAlignment="1">
      <alignment horizontal="right"/>
    </xf>
    <xf numFmtId="44" fontId="7" fillId="0" borderId="0" xfId="0" applyNumberFormat="1" applyFont="1" applyAlignment="1">
      <alignment horizontal="right"/>
    </xf>
    <xf numFmtId="0" fontId="7" fillId="0" borderId="0" xfId="0" applyFont="1" applyAlignment="1">
      <alignment wrapText="1"/>
    </xf>
    <xf numFmtId="164" fontId="37" fillId="0" borderId="2" xfId="1" applyNumberFormat="1" applyFont="1" applyFill="1" applyBorder="1" applyAlignment="1" applyProtection="1">
      <alignment horizontal="center"/>
    </xf>
    <xf numFmtId="0" fontId="9" fillId="0" borderId="0" xfId="0" applyFont="1" applyFill="1"/>
    <xf numFmtId="164" fontId="0" fillId="0" borderId="0" xfId="0" applyNumberFormat="1" applyAlignment="1">
      <alignment horizontal="center"/>
    </xf>
    <xf numFmtId="2" fontId="11" fillId="0" borderId="0" xfId="0" applyNumberFormat="1" applyFont="1" applyAlignment="1" applyProtection="1"/>
    <xf numFmtId="0" fontId="11" fillId="0" borderId="0" xfId="0" applyNumberFormat="1" applyFont="1" applyProtection="1"/>
    <xf numFmtId="0" fontId="11" fillId="0" borderId="0" xfId="0" applyNumberFormat="1" applyFont="1" applyFill="1" applyBorder="1" applyProtection="1"/>
    <xf numFmtId="0" fontId="10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 applyProtection="1">
      <alignment horizontal="center"/>
    </xf>
    <xf numFmtId="0" fontId="17" fillId="0" borderId="0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0" fontId="16" fillId="0" borderId="0" xfId="0" applyNumberFormat="1" applyFont="1" applyAlignment="1">
      <alignment horizontal="center"/>
    </xf>
    <xf numFmtId="0" fontId="16" fillId="0" borderId="0" xfId="0" applyNumberFormat="1" applyFont="1"/>
    <xf numFmtId="0" fontId="0" fillId="0" borderId="0" xfId="0" applyNumberFormat="1"/>
    <xf numFmtId="164" fontId="9" fillId="0" borderId="0" xfId="0" applyNumberFormat="1" applyFont="1" applyFill="1" applyAlignment="1" applyProtection="1">
      <alignment horizontal="center"/>
    </xf>
    <xf numFmtId="164" fontId="6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1" fontId="6" fillId="0" borderId="0" xfId="0" applyNumberFormat="1" applyFont="1" applyBorder="1" applyAlignment="1" applyProtection="1">
      <alignment horizontal="left"/>
    </xf>
    <xf numFmtId="2" fontId="37" fillId="0" borderId="2" xfId="1" applyNumberFormat="1" applyFont="1" applyFill="1" applyBorder="1" applyAlignment="1">
      <alignment horizontal="center"/>
    </xf>
    <xf numFmtId="165" fontId="38" fillId="0" borderId="0" xfId="1" applyNumberFormat="1" applyFill="1" applyBorder="1" applyProtection="1"/>
    <xf numFmtId="166" fontId="7" fillId="0" borderId="2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left"/>
    </xf>
    <xf numFmtId="0" fontId="37" fillId="0" borderId="2" xfId="1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166" fontId="11" fillId="0" borderId="0" xfId="0" applyNumberFormat="1" applyFont="1" applyFill="1" applyBorder="1" applyProtection="1"/>
    <xf numFmtId="166" fontId="11" fillId="0" borderId="0" xfId="0" applyNumberFormat="1" applyFont="1" applyProtection="1"/>
    <xf numFmtId="1" fontId="11" fillId="0" borderId="0" xfId="0" applyNumberFormat="1" applyFont="1" applyFill="1" applyBorder="1" applyAlignment="1" applyProtection="1">
      <alignment horizontal="center"/>
    </xf>
    <xf numFmtId="44" fontId="11" fillId="0" borderId="0" xfId="2" applyFont="1" applyFill="1" applyBorder="1" applyAlignment="1" applyProtection="1">
      <alignment horizontal="center"/>
    </xf>
    <xf numFmtId="44" fontId="0" fillId="0" borderId="0" xfId="2" applyFont="1"/>
    <xf numFmtId="169" fontId="11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Border="1" applyAlignment="1" applyProtection="1">
      <alignment horizontal="center"/>
    </xf>
    <xf numFmtId="0" fontId="33" fillId="0" borderId="0" xfId="0" applyFont="1" applyBorder="1"/>
    <xf numFmtId="0" fontId="33" fillId="0" borderId="0" xfId="0" applyFont="1" applyFill="1" applyBorder="1"/>
    <xf numFmtId="0" fontId="32" fillId="0" borderId="0" xfId="0" applyFont="1" applyBorder="1" applyAlignment="1" applyProtection="1">
      <alignment horizontal="center"/>
    </xf>
    <xf numFmtId="1" fontId="32" fillId="0" borderId="0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center"/>
    </xf>
    <xf numFmtId="164" fontId="32" fillId="0" borderId="0" xfId="0" applyNumberFormat="1" applyFont="1" applyFill="1" applyBorder="1" applyAlignment="1" applyProtection="1">
      <alignment horizontal="center"/>
    </xf>
    <xf numFmtId="164" fontId="32" fillId="0" borderId="0" xfId="0" applyNumberFormat="1" applyFont="1" applyAlignment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2" fontId="33" fillId="0" borderId="0" xfId="0" applyNumberFormat="1" applyFont="1" applyFill="1" applyBorder="1" applyAlignment="1" applyProtection="1">
      <alignment horizontal="center"/>
    </xf>
    <xf numFmtId="0" fontId="6" fillId="0" borderId="0" xfId="0" applyFont="1" applyBorder="1" applyAlignment="1">
      <alignment horizontal="center" wrapText="1"/>
    </xf>
    <xf numFmtId="0" fontId="42" fillId="0" borderId="2" xfId="3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31" fillId="0" borderId="2" xfId="3" applyFont="1" applyBorder="1" applyAlignment="1">
      <alignment horizontal="center" wrapText="1"/>
    </xf>
    <xf numFmtId="0" fontId="42" fillId="0" borderId="2" xfId="3" applyFont="1" applyBorder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31" fillId="0" borderId="2" xfId="3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43" fillId="0" borderId="0" xfId="0" applyFont="1"/>
    <xf numFmtId="1" fontId="33" fillId="0" borderId="0" xfId="0" applyNumberFormat="1" applyFont="1" applyAlignment="1">
      <alignment horizontal="center"/>
    </xf>
    <xf numFmtId="164" fontId="40" fillId="0" borderId="2" xfId="1" applyNumberFormat="1" applyFont="1" applyFill="1" applyBorder="1" applyAlignment="1" applyProtection="1">
      <alignment horizontal="center"/>
    </xf>
    <xf numFmtId="164" fontId="40" fillId="0" borderId="2" xfId="1" applyNumberFormat="1" applyFont="1" applyFill="1" applyBorder="1" applyAlignment="1">
      <alignment horizontal="center"/>
    </xf>
    <xf numFmtId="2" fontId="7" fillId="0" borderId="0" xfId="0" applyNumberFormat="1" applyFont="1" applyFill="1" applyAlignment="1" applyProtection="1">
      <alignment horizontal="center"/>
    </xf>
    <xf numFmtId="165" fontId="6" fillId="0" borderId="0" xfId="0" applyNumberFormat="1" applyFont="1" applyFill="1" applyBorder="1" applyProtection="1"/>
    <xf numFmtId="2" fontId="6" fillId="0" borderId="0" xfId="0" applyNumberFormat="1" applyFont="1"/>
    <xf numFmtId="165" fontId="37" fillId="0" borderId="0" xfId="1" applyNumberFormat="1" applyFont="1" applyFill="1" applyBorder="1" applyProtection="1"/>
    <xf numFmtId="0" fontId="33" fillId="0" borderId="0" xfId="0" applyFont="1" applyFill="1" applyBorder="1" applyAlignment="1">
      <alignment horizontal="center"/>
    </xf>
    <xf numFmtId="2" fontId="0" fillId="0" borderId="2" xfId="0" applyNumberFormat="1" applyBorder="1" applyAlignment="1" applyProtection="1">
      <alignment horizontal="center"/>
    </xf>
    <xf numFmtId="164" fontId="7" fillId="0" borderId="2" xfId="0" applyNumberFormat="1" applyFont="1" applyBorder="1" applyAlignment="1" applyProtection="1">
      <alignment horizontal="center"/>
    </xf>
    <xf numFmtId="1" fontId="6" fillId="0" borderId="0" xfId="0" applyNumberFormat="1" applyFont="1" applyBorder="1" applyAlignment="1" applyProtection="1">
      <alignment horizontal="right"/>
    </xf>
    <xf numFmtId="164" fontId="7" fillId="0" borderId="0" xfId="0" applyNumberFormat="1" applyFont="1" applyFill="1" applyAlignment="1" applyProtection="1">
      <alignment horizontal="center"/>
    </xf>
    <xf numFmtId="0" fontId="32" fillId="0" borderId="0" xfId="0" applyFont="1" applyFill="1" applyBorder="1" applyProtection="1"/>
    <xf numFmtId="0" fontId="12" fillId="0" borderId="0" xfId="0" applyFont="1" applyAlignment="1">
      <alignment horizontal="left"/>
    </xf>
    <xf numFmtId="0" fontId="33" fillId="0" borderId="0" xfId="0" applyFont="1" applyBorder="1" applyAlignment="1">
      <alignment horizontal="left" wrapText="1"/>
    </xf>
    <xf numFmtId="1" fontId="33" fillId="0" borderId="0" xfId="0" applyNumberFormat="1" applyFont="1" applyAlignment="1">
      <alignment horizontal="right"/>
    </xf>
    <xf numFmtId="2" fontId="6" fillId="0" borderId="2" xfId="0" applyNumberFormat="1" applyFont="1" applyBorder="1" applyAlignment="1" applyProtection="1">
      <alignment horizontal="center"/>
    </xf>
    <xf numFmtId="1" fontId="33" fillId="0" borderId="0" xfId="0" applyNumberFormat="1" applyFont="1" applyBorder="1" applyAlignment="1" applyProtection="1">
      <alignment horizontal="left"/>
    </xf>
    <xf numFmtId="2" fontId="6" fillId="0" borderId="0" xfId="0" applyNumberFormat="1" applyFont="1" applyBorder="1" applyAlignment="1" applyProtection="1">
      <alignment horizontal="left"/>
    </xf>
    <xf numFmtId="0" fontId="6" fillId="0" borderId="0" xfId="0" applyFont="1" applyFill="1" applyBorder="1"/>
    <xf numFmtId="164" fontId="6" fillId="0" borderId="0" xfId="0" applyNumberFormat="1" applyFont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center" wrapText="1"/>
    </xf>
    <xf numFmtId="164" fontId="4" fillId="0" borderId="2" xfId="1" applyNumberFormat="1" applyFont="1" applyFill="1" applyBorder="1" applyAlignment="1" applyProtection="1">
      <alignment horizontal="center"/>
    </xf>
    <xf numFmtId="164" fontId="3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>
      <alignment horizontal="center"/>
    </xf>
    <xf numFmtId="0" fontId="41" fillId="0" borderId="0" xfId="0" applyFont="1" applyAlignment="1"/>
    <xf numFmtId="0" fontId="41" fillId="0" borderId="0" xfId="0" applyFont="1"/>
    <xf numFmtId="0" fontId="41" fillId="0" borderId="2" xfId="0" applyFont="1" applyBorder="1" applyAlignment="1"/>
    <xf numFmtId="0" fontId="6" fillId="0" borderId="2" xfId="0" applyFont="1" applyBorder="1" applyAlignment="1"/>
    <xf numFmtId="0" fontId="0" fillId="0" borderId="2" xfId="0" applyBorder="1" applyAlignment="1"/>
    <xf numFmtId="0" fontId="33" fillId="0" borderId="2" xfId="0" applyFont="1" applyBorder="1" applyAlignment="1"/>
    <xf numFmtId="164" fontId="9" fillId="0" borderId="0" xfId="0" applyNumberFormat="1" applyFont="1" applyAlignment="1">
      <alignment horizontal="center"/>
    </xf>
    <xf numFmtId="2" fontId="6" fillId="0" borderId="0" xfId="0" applyNumberFormat="1" applyFont="1" applyBorder="1" applyAlignment="1" applyProtection="1">
      <alignment horizontal="center"/>
    </xf>
    <xf numFmtId="164" fontId="6" fillId="0" borderId="0" xfId="0" applyNumberFormat="1" applyFont="1" applyAlignment="1">
      <alignment horizontal="right"/>
    </xf>
    <xf numFmtId="164" fontId="37" fillId="0" borderId="2" xfId="1" applyNumberFormat="1" applyFont="1" applyFill="1" applyBorder="1" applyAlignment="1">
      <alignment horizontal="center"/>
    </xf>
    <xf numFmtId="2" fontId="6" fillId="0" borderId="12" xfId="0" applyNumberFormat="1" applyFont="1" applyFill="1" applyBorder="1" applyAlignment="1" applyProtection="1">
      <alignment horizontal="right"/>
    </xf>
    <xf numFmtId="2" fontId="6" fillId="0" borderId="2" xfId="0" applyNumberFormat="1" applyFont="1" applyFill="1" applyBorder="1" applyAlignment="1" applyProtection="1">
      <alignment horizontal="right"/>
    </xf>
    <xf numFmtId="0" fontId="28" fillId="0" borderId="0" xfId="0" applyFont="1" applyAlignment="1">
      <alignment horizontal="left" indent="12"/>
    </xf>
    <xf numFmtId="2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2" fontId="7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Continuous"/>
    </xf>
    <xf numFmtId="2" fontId="0" fillId="0" borderId="3" xfId="0" applyNumberFormat="1" applyBorder="1" applyAlignment="1">
      <alignment horizontal="centerContinuous"/>
    </xf>
    <xf numFmtId="2" fontId="0" fillId="0" borderId="6" xfId="0" applyNumberFormat="1" applyBorder="1"/>
    <xf numFmtId="2" fontId="7" fillId="0" borderId="9" xfId="0" applyNumberFormat="1" applyFont="1" applyBorder="1" applyAlignment="1">
      <alignment horizontal="center" vertical="center" wrapText="1"/>
    </xf>
    <xf numFmtId="2" fontId="0" fillId="0" borderId="2" xfId="0" applyNumberFormat="1" applyBorder="1"/>
    <xf numFmtId="2" fontId="11" fillId="0" borderId="12" xfId="0" applyNumberFormat="1" applyFont="1" applyBorder="1" applyProtection="1"/>
    <xf numFmtId="2" fontId="11" fillId="0" borderId="2" xfId="0" applyNumberFormat="1" applyFont="1" applyBorder="1" applyProtection="1"/>
    <xf numFmtId="2" fontId="16" fillId="0" borderId="0" xfId="0" applyNumberFormat="1" applyFont="1" applyFill="1" applyBorder="1" applyAlignment="1">
      <alignment horizontal="center"/>
    </xf>
    <xf numFmtId="2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/>
    </xf>
    <xf numFmtId="2" fontId="16" fillId="0" borderId="0" xfId="0" applyNumberFormat="1" applyFont="1"/>
    <xf numFmtId="2" fontId="0" fillId="0" borderId="0" xfId="0" applyNumberFormat="1"/>
    <xf numFmtId="2" fontId="6" fillId="0" borderId="2" xfId="0" applyNumberFormat="1" applyFont="1" applyBorder="1" applyAlignment="1">
      <alignment horizontal="center"/>
    </xf>
    <xf numFmtId="2" fontId="10" fillId="0" borderId="0" xfId="0" applyNumberFormat="1" applyFont="1" applyFill="1" applyAlignment="1" applyProtection="1">
      <alignment horizontal="center"/>
    </xf>
    <xf numFmtId="0" fontId="44" fillId="0" borderId="0" xfId="0" applyFont="1" applyFill="1" applyAlignment="1" applyProtection="1">
      <alignment horizontal="center"/>
    </xf>
    <xf numFmtId="0" fontId="44" fillId="0" borderId="0" xfId="0" applyFont="1" applyFill="1" applyAlignment="1">
      <alignment horizontal="center"/>
    </xf>
    <xf numFmtId="2" fontId="44" fillId="0" borderId="0" xfId="0" applyNumberFormat="1" applyFont="1" applyFill="1" applyAlignment="1" applyProtection="1">
      <alignment horizontal="center"/>
    </xf>
    <xf numFmtId="0" fontId="45" fillId="0" borderId="0" xfId="0" applyFont="1" applyFill="1" applyAlignment="1">
      <alignment horizontal="center"/>
    </xf>
    <xf numFmtId="164" fontId="46" fillId="0" borderId="2" xfId="1" applyNumberFormat="1" applyFont="1" applyFill="1" applyBorder="1" applyAlignment="1" applyProtection="1">
      <alignment horizontal="center"/>
    </xf>
    <xf numFmtId="0" fontId="37" fillId="0" borderId="0" xfId="1" applyFont="1" applyFill="1" applyBorder="1"/>
    <xf numFmtId="0" fontId="47" fillId="0" borderId="0" xfId="0" applyFont="1" applyBorder="1"/>
    <xf numFmtId="0" fontId="47" fillId="0" borderId="0" xfId="0" applyFont="1" applyBorder="1" applyAlignment="1">
      <alignment horizontal="center"/>
    </xf>
    <xf numFmtId="2" fontId="37" fillId="0" borderId="2" xfId="1" applyNumberFormat="1" applyFont="1" applyFill="1" applyBorder="1" applyAlignment="1" applyProtection="1">
      <alignment horizontal="center"/>
    </xf>
    <xf numFmtId="2" fontId="37" fillId="0" borderId="2" xfId="1" quotePrefix="1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0" fontId="6" fillId="0" borderId="0" xfId="0" applyFont="1" applyAlignment="1" applyProtection="1">
      <alignment horizontal="left"/>
    </xf>
    <xf numFmtId="0" fontId="37" fillId="0" borderId="0" xfId="1" applyFont="1" applyFill="1" applyAlignment="1">
      <alignment horizontal="center"/>
    </xf>
    <xf numFmtId="170" fontId="6" fillId="0" borderId="0" xfId="0" applyNumberFormat="1" applyFont="1" applyAlignment="1" applyProtection="1">
      <alignment horizontal="center"/>
    </xf>
    <xf numFmtId="170" fontId="9" fillId="0" borderId="0" xfId="0" applyNumberFormat="1" applyFont="1" applyAlignment="1" applyProtection="1">
      <alignment horizontal="center"/>
    </xf>
    <xf numFmtId="0" fontId="31" fillId="0" borderId="0" xfId="3" applyFont="1" applyBorder="1" applyAlignment="1">
      <alignment horizontal="left" wrapText="1"/>
    </xf>
    <xf numFmtId="0" fontId="46" fillId="0" borderId="2" xfId="0" applyFont="1" applyBorder="1" applyAlignment="1">
      <alignment horizontal="left" wrapText="1"/>
    </xf>
    <xf numFmtId="0" fontId="38" fillId="0" borderId="2" xfId="1" applyFont="1" applyFill="1" applyBorder="1" applyAlignment="1" applyProtection="1">
      <alignment horizontal="center"/>
    </xf>
    <xf numFmtId="0" fontId="51" fillId="0" borderId="0" xfId="0" applyFont="1" applyFill="1" applyAlignment="1" applyProtection="1">
      <alignment horizontal="center"/>
    </xf>
    <xf numFmtId="0" fontId="52" fillId="0" borderId="0" xfId="0" applyFont="1" applyAlignment="1">
      <alignment horizontal="left"/>
    </xf>
    <xf numFmtId="0" fontId="53" fillId="0" borderId="0" xfId="0" applyFont="1"/>
    <xf numFmtId="0" fontId="52" fillId="0" borderId="0" xfId="0" applyFont="1"/>
    <xf numFmtId="0" fontId="54" fillId="0" borderId="0" xfId="0" applyFont="1"/>
    <xf numFmtId="0" fontId="52" fillId="0" borderId="0" xfId="0" applyFont="1" applyProtection="1"/>
    <xf numFmtId="0" fontId="53" fillId="0" borderId="0" xfId="0" applyFont="1" applyAlignment="1">
      <alignment horizontal="left"/>
    </xf>
    <xf numFmtId="0" fontId="40" fillId="0" borderId="0" xfId="1" applyFont="1" applyFill="1" applyAlignment="1" applyProtection="1">
      <alignment horizontal="center"/>
    </xf>
    <xf numFmtId="2" fontId="40" fillId="0" borderId="2" xfId="1" applyNumberFormat="1" applyFont="1" applyFill="1" applyBorder="1" applyAlignment="1" applyProtection="1">
      <alignment horizontal="center"/>
    </xf>
    <xf numFmtId="0" fontId="33" fillId="0" borderId="0" xfId="0" applyFont="1" applyFill="1" applyBorder="1" applyProtection="1"/>
    <xf numFmtId="2" fontId="55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</xf>
    <xf numFmtId="2" fontId="28" fillId="0" borderId="0" xfId="0" applyNumberFormat="1" applyFont="1" applyAlignment="1"/>
    <xf numFmtId="2" fontId="29" fillId="0" borderId="0" xfId="0" applyNumberFormat="1" applyFont="1" applyAlignment="1"/>
    <xf numFmtId="0" fontId="40" fillId="0" borderId="2" xfId="1" applyFont="1" applyFill="1" applyBorder="1" applyAlignment="1" applyProtection="1">
      <alignment horizontal="center"/>
    </xf>
    <xf numFmtId="0" fontId="56" fillId="0" borderId="2" xfId="3" applyFont="1" applyBorder="1" applyAlignment="1">
      <alignment horizontal="left" wrapText="1"/>
    </xf>
    <xf numFmtId="0" fontId="6" fillId="0" borderId="2" xfId="0" applyFont="1" applyBorder="1" applyAlignment="1">
      <alignment horizontal="right"/>
    </xf>
    <xf numFmtId="44" fontId="7" fillId="0" borderId="0" xfId="2" applyFont="1" applyAlignment="1">
      <alignment horizontal="right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37" fillId="0" borderId="0" xfId="1" applyFont="1" applyFill="1" applyAlignment="1" applyProtection="1">
      <alignment horizontal="center"/>
    </xf>
    <xf numFmtId="0" fontId="56" fillId="0" borderId="2" xfId="3" applyFont="1" applyBorder="1" applyAlignment="1">
      <alignment horizontal="center" wrapText="1"/>
    </xf>
    <xf numFmtId="2" fontId="37" fillId="0" borderId="0" xfId="1" applyNumberFormat="1" applyFont="1" applyFill="1" applyBorder="1" applyAlignment="1">
      <alignment horizontal="center"/>
    </xf>
    <xf numFmtId="164" fontId="37" fillId="0" borderId="2" xfId="1" applyNumberFormat="1" applyFont="1" applyFill="1" applyBorder="1" applyAlignment="1">
      <alignment horizontal="center" vertical="top" wrapText="1"/>
    </xf>
    <xf numFmtId="164" fontId="1" fillId="0" borderId="2" xfId="1" applyNumberFormat="1" applyFont="1" applyFill="1" applyBorder="1" applyAlignment="1">
      <alignment horizontal="center"/>
    </xf>
    <xf numFmtId="44" fontId="7" fillId="0" borderId="0" xfId="2" applyFont="1" applyBorder="1" applyAlignment="1">
      <alignment horizontal="right"/>
    </xf>
    <xf numFmtId="2" fontId="37" fillId="3" borderId="2" xfId="1" applyNumberFormat="1" applyFont="1" applyFill="1" applyBorder="1" applyAlignment="1" applyProtection="1">
      <alignment horizontal="center"/>
    </xf>
    <xf numFmtId="1" fontId="37" fillId="3" borderId="2" xfId="1" applyNumberFormat="1" applyFont="1" applyFill="1" applyBorder="1" applyAlignment="1" applyProtection="1">
      <alignment horizontal="center"/>
    </xf>
    <xf numFmtId="1" fontId="7" fillId="0" borderId="0" xfId="0" applyNumberFormat="1" applyFont="1" applyFill="1" applyBorder="1" applyProtection="1"/>
    <xf numFmtId="0" fontId="57" fillId="0" borderId="2" xfId="1" applyFont="1" applyFill="1" applyBorder="1" applyAlignment="1" applyProtection="1">
      <alignment horizontal="center"/>
    </xf>
    <xf numFmtId="2" fontId="6" fillId="0" borderId="2" xfId="0" applyNumberFormat="1" applyFont="1" applyBorder="1"/>
    <xf numFmtId="0" fontId="0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quotePrefix="1" applyFont="1" applyAlignment="1">
      <alignment horizontal="center"/>
    </xf>
    <xf numFmtId="2" fontId="6" fillId="3" borderId="2" xfId="0" applyNumberFormat="1" applyFont="1" applyFill="1" applyBorder="1" applyAlignment="1" applyProtection="1">
      <alignment horizontal="center"/>
    </xf>
    <xf numFmtId="2" fontId="6" fillId="0" borderId="0" xfId="0" applyNumberFormat="1" applyFont="1" applyAlignment="1">
      <alignment horizontal="center"/>
    </xf>
    <xf numFmtId="170" fontId="6" fillId="0" borderId="2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6" fontId="6" fillId="0" borderId="2" xfId="0" applyNumberFormat="1" applyFont="1" applyFill="1" applyBorder="1" applyAlignment="1" applyProtection="1">
      <alignment horizontal="center"/>
    </xf>
    <xf numFmtId="167" fontId="11" fillId="0" borderId="0" xfId="0" applyNumberFormat="1" applyFont="1" applyFill="1" applyBorder="1" applyAlignment="1" applyProtection="1">
      <alignment horizontal="left"/>
    </xf>
    <xf numFmtId="164" fontId="37" fillId="0" borderId="11" xfId="1" applyNumberFormat="1" applyFont="1" applyFill="1" applyBorder="1" applyAlignment="1">
      <alignment horizontal="center"/>
    </xf>
    <xf numFmtId="0" fontId="37" fillId="0" borderId="11" xfId="1" applyFont="1" applyFill="1" applyBorder="1" applyAlignment="1">
      <alignment horizontal="left" wrapText="1"/>
    </xf>
    <xf numFmtId="0" fontId="6" fillId="0" borderId="2" xfId="0" applyFont="1" applyBorder="1"/>
    <xf numFmtId="0" fontId="6" fillId="0" borderId="2" xfId="0" applyFont="1" applyFill="1" applyBorder="1"/>
    <xf numFmtId="0" fontId="50" fillId="0" borderId="0" xfId="0" applyFont="1"/>
    <xf numFmtId="0" fontId="58" fillId="0" borderId="0" xfId="0" applyFont="1" applyAlignment="1" applyProtection="1">
      <alignment horizontal="left"/>
    </xf>
    <xf numFmtId="0" fontId="58" fillId="0" borderId="0" xfId="0" applyFont="1" applyProtection="1"/>
    <xf numFmtId="0" fontId="48" fillId="0" borderId="0" xfId="0" applyFont="1" applyBorder="1" applyAlignment="1" applyProtection="1">
      <alignment horizontal="left"/>
    </xf>
    <xf numFmtId="0" fontId="48" fillId="0" borderId="0" xfId="0" applyFont="1" applyBorder="1" applyAlignment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>
      <alignment horizontal="left"/>
    </xf>
    <xf numFmtId="0" fontId="7" fillId="0" borderId="0" xfId="0" applyFont="1" applyFill="1" applyBorder="1" applyAlignment="1" applyProtection="1">
      <alignment horizontal="left"/>
    </xf>
    <xf numFmtId="1" fontId="7" fillId="0" borderId="0" xfId="0" applyNumberFormat="1" applyFont="1" applyBorder="1" applyAlignment="1" applyProtection="1"/>
    <xf numFmtId="1" fontId="10" fillId="0" borderId="0" xfId="0" applyNumberFormat="1" applyFont="1" applyBorder="1" applyAlignment="1" applyProtection="1"/>
    <xf numFmtId="1" fontId="7" fillId="0" borderId="0" xfId="0" applyNumberFormat="1" applyFont="1" applyBorder="1" applyAlignment="1" applyProtection="1">
      <alignment horizontal="right"/>
    </xf>
    <xf numFmtId="1" fontId="10" fillId="0" borderId="0" xfId="0" applyNumberFormat="1" applyFont="1" applyBorder="1" applyAlignment="1" applyProtection="1">
      <alignment horizontal="right"/>
    </xf>
    <xf numFmtId="0" fontId="46" fillId="0" borderId="0" xfId="1" applyFont="1" applyFill="1" applyBorder="1" applyAlignment="1"/>
    <xf numFmtId="0" fontId="49" fillId="0" borderId="0" xfId="3" applyFont="1" applyBorder="1" applyAlignment="1"/>
    <xf numFmtId="0" fontId="49" fillId="0" borderId="0" xfId="3" applyFont="1" applyBorder="1" applyAlignment="1">
      <alignment wrapText="1"/>
    </xf>
    <xf numFmtId="0" fontId="49" fillId="0" borderId="0" xfId="3" applyFont="1" applyBorder="1" applyAlignment="1">
      <alignment vertical="center" wrapText="1"/>
    </xf>
    <xf numFmtId="0" fontId="50" fillId="0" borderId="0" xfId="1" applyFont="1" applyFill="1" applyBorder="1" applyAlignment="1"/>
  </cellXfs>
  <cellStyles count="5">
    <cellStyle name="Bad" xfId="1" builtinId="27"/>
    <cellStyle name="Currency" xfId="2" builtinId="4"/>
    <cellStyle name="Normal" xfId="0" builtinId="0"/>
    <cellStyle name="Normal 2" xfId="3"/>
    <cellStyle name="Normal 3" xfId="4"/>
  </cellStyles>
  <dxfs count="10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35</xdr:row>
      <xdr:rowOff>9525</xdr:rowOff>
    </xdr:from>
    <xdr:to>
      <xdr:col>26</xdr:col>
      <xdr:colOff>0</xdr:colOff>
      <xdr:row>42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S71"/>
  <sheetViews>
    <sheetView tabSelected="1" zoomScale="70" zoomScaleNormal="70" zoomScalePageLayoutView="125" workbookViewId="0">
      <selection activeCell="L33" sqref="L33"/>
    </sheetView>
  </sheetViews>
  <sheetFormatPr defaultColWidth="8.85546875" defaultRowHeight="12.75"/>
  <cols>
    <col min="1" max="1" width="53.42578125" customWidth="1"/>
    <col min="2" max="2" width="14.85546875" customWidth="1"/>
    <col min="3" max="3" width="11.85546875" style="3" customWidth="1"/>
    <col min="4" max="4" width="10.42578125" customWidth="1"/>
    <col min="5" max="5" width="12.85546875" customWidth="1"/>
    <col min="6" max="6" width="12.42578125" customWidth="1"/>
    <col min="8" max="8" width="11.42578125" customWidth="1"/>
    <col min="9" max="9" width="15.28515625" customWidth="1"/>
    <col min="10" max="10" width="15.42578125" style="206" customWidth="1"/>
    <col min="11" max="11" width="15.42578125" style="3" customWidth="1"/>
    <col min="12" max="12" width="9.28515625" customWidth="1"/>
    <col min="13" max="13" width="12.42578125" customWidth="1"/>
    <col min="14" max="14" width="11.140625" customWidth="1"/>
    <col min="15" max="15" width="12.42578125" customWidth="1"/>
    <col min="16" max="16" width="15.42578125" customWidth="1"/>
  </cols>
  <sheetData>
    <row r="1" spans="1:19" ht="18.75">
      <c r="A1" s="7" t="s">
        <v>211</v>
      </c>
      <c r="B1" s="6"/>
      <c r="C1" s="18"/>
      <c r="D1" s="6"/>
      <c r="E1" s="6"/>
      <c r="F1" s="10" t="s">
        <v>235</v>
      </c>
      <c r="G1" s="38"/>
      <c r="H1" s="6"/>
      <c r="I1" s="6"/>
      <c r="J1" s="205"/>
      <c r="K1" s="135" t="s">
        <v>99</v>
      </c>
      <c r="L1" s="6"/>
      <c r="M1" s="6"/>
      <c r="N1" s="6"/>
      <c r="O1" s="6"/>
    </row>
    <row r="2" spans="1:19">
      <c r="A2" s="6"/>
      <c r="B2" s="5" t="s">
        <v>21</v>
      </c>
      <c r="C2" s="5" t="s">
        <v>5</v>
      </c>
      <c r="D2" s="6"/>
      <c r="E2" s="10" t="s">
        <v>49</v>
      </c>
      <c r="F2" s="5" t="s">
        <v>42</v>
      </c>
      <c r="G2" s="38"/>
      <c r="H2" s="6"/>
      <c r="I2" s="6"/>
      <c r="J2" s="81" t="s">
        <v>98</v>
      </c>
      <c r="K2" s="5" t="s">
        <v>87</v>
      </c>
      <c r="L2" s="5" t="s">
        <v>44</v>
      </c>
      <c r="M2" s="10" t="s">
        <v>47</v>
      </c>
      <c r="N2" s="10" t="s">
        <v>67</v>
      </c>
      <c r="O2" s="38" t="s">
        <v>95</v>
      </c>
      <c r="P2" s="25"/>
    </row>
    <row r="3" spans="1:19">
      <c r="A3" s="6"/>
      <c r="B3" s="5" t="s">
        <v>6</v>
      </c>
      <c r="C3" s="5" t="s">
        <v>48</v>
      </c>
      <c r="D3" s="5" t="s">
        <v>69</v>
      </c>
      <c r="E3" s="5" t="s">
        <v>3</v>
      </c>
      <c r="F3" s="36" t="s">
        <v>43</v>
      </c>
      <c r="G3" s="5" t="s">
        <v>4</v>
      </c>
      <c r="H3" s="5" t="s">
        <v>37</v>
      </c>
      <c r="I3" s="2" t="s">
        <v>38</v>
      </c>
      <c r="J3" s="17" t="s">
        <v>86</v>
      </c>
      <c r="K3" s="5" t="s">
        <v>2</v>
      </c>
      <c r="L3" s="5" t="s">
        <v>45</v>
      </c>
      <c r="M3" s="5" t="s">
        <v>3</v>
      </c>
      <c r="N3" s="5" t="s">
        <v>66</v>
      </c>
      <c r="O3" s="5" t="s">
        <v>96</v>
      </c>
      <c r="S3" s="5"/>
    </row>
    <row r="4" spans="1:19" ht="15">
      <c r="A4" s="344" t="s">
        <v>194</v>
      </c>
      <c r="B4" s="60">
        <f>Paper!C68</f>
        <v>65.125</v>
      </c>
      <c r="C4" s="60">
        <f>Static!B5</f>
        <v>50</v>
      </c>
      <c r="D4" s="292">
        <f>MSRP!L7</f>
        <v>39.556248441007732</v>
      </c>
      <c r="E4" s="60">
        <f>'Subjective Handling '!M4</f>
        <v>40.0625</v>
      </c>
      <c r="F4" s="81">
        <f>'Fuel Economy '!E10</f>
        <v>200</v>
      </c>
      <c r="G4" s="60">
        <f>Oral!AB4</f>
        <v>60.131578947368418</v>
      </c>
      <c r="H4" s="60">
        <f>Noise!G5</f>
        <v>194.64360167202898</v>
      </c>
      <c r="I4" s="268">
        <f>Acceleration!E5</f>
        <v>31.102362204724386</v>
      </c>
      <c r="J4" s="267">
        <f>'Lab Emissions'!K5+'Lab Emissions'!O5</f>
        <v>240.88677085439326</v>
      </c>
      <c r="K4" s="267">
        <f>'In Service Emissions'!C6+'In Service Emissions'!I6</f>
        <v>98.388446149267537</v>
      </c>
      <c r="L4" s="267">
        <f>'Cold Start'!C4:C17</f>
        <v>0</v>
      </c>
      <c r="M4" s="267">
        <f>'Objective Handling'!E6</f>
        <v>36.674008810572673</v>
      </c>
      <c r="N4" s="267">
        <f>'Penalties and Bonuses'!J4</f>
        <v>100</v>
      </c>
      <c r="O4" s="216">
        <f>'Vehicle Weights'!G4</f>
        <v>0</v>
      </c>
      <c r="S4" s="60"/>
    </row>
    <row r="5" spans="1:19" ht="15">
      <c r="A5" s="344" t="s">
        <v>195</v>
      </c>
      <c r="B5" s="60">
        <f>Paper!D68</f>
        <v>69.444444444444443</v>
      </c>
      <c r="C5" s="60">
        <f>Static!B6</f>
        <v>50</v>
      </c>
      <c r="D5" s="292">
        <f>MSRP!L8</f>
        <v>38.564479920179593</v>
      </c>
      <c r="E5" s="60">
        <f>'Subjective Handling '!M5</f>
        <v>33.222222222222221</v>
      </c>
      <c r="F5" s="81">
        <f>'Fuel Economy '!E11</f>
        <v>191.16945107398567</v>
      </c>
      <c r="G5" s="60">
        <f>Oral!AB5</f>
        <v>73.10526315789474</v>
      </c>
      <c r="H5" s="60">
        <f>Noise!G6</f>
        <v>300</v>
      </c>
      <c r="I5" s="268">
        <f>Acceleration!E6</f>
        <v>38.188976377952741</v>
      </c>
      <c r="J5" s="267">
        <f>'Lab Emissions'!K6+'Lab Emissions'!O6</f>
        <v>302.93535845699733</v>
      </c>
      <c r="K5" s="267">
        <f>'In Service Emissions'!C7+'In Service Emissions'!I7</f>
        <v>95.808617695495229</v>
      </c>
      <c r="L5" s="267">
        <f>'Cold Start'!C5:C18</f>
        <v>50</v>
      </c>
      <c r="M5" s="267">
        <f>'Objective Handling'!E7</f>
        <v>52.202643171806187</v>
      </c>
      <c r="N5" s="267">
        <f>'Penalties and Bonuses'!J5</f>
        <v>-40</v>
      </c>
      <c r="O5" s="216">
        <f>'Vehicle Weights'!G5</f>
        <v>0</v>
      </c>
      <c r="S5" s="60"/>
    </row>
    <row r="6" spans="1:19" ht="15">
      <c r="A6" s="344" t="s">
        <v>196</v>
      </c>
      <c r="B6" s="60">
        <f>Paper!E68</f>
        <v>81.588235294117652</v>
      </c>
      <c r="C6" s="60">
        <f>Static!B7</f>
        <v>50</v>
      </c>
      <c r="D6" s="292">
        <f>MSRP!L9</f>
        <v>30.256672486904463</v>
      </c>
      <c r="E6" s="60">
        <f>'Subjective Handling '!M6</f>
        <v>44.25</v>
      </c>
      <c r="F6" s="81">
        <f>'Fuel Economy '!E12</f>
        <v>5</v>
      </c>
      <c r="G6" s="60">
        <f>Oral!AB6</f>
        <v>64.11904761904762</v>
      </c>
      <c r="H6" s="60">
        <f>Noise!G7</f>
        <v>73.773397886916698</v>
      </c>
      <c r="I6" s="268">
        <f>Acceleration!E7</f>
        <v>50</v>
      </c>
      <c r="J6" s="267">
        <f>'Lab Emissions'!K7+'Lab Emissions'!O7</f>
        <v>141.56</v>
      </c>
      <c r="K6" s="267">
        <f>'In Service Emissions'!C8+'In Service Emissions'!I8</f>
        <v>62.467996131293681</v>
      </c>
      <c r="L6" s="267">
        <f>'Cold Start'!C6:C19</f>
        <v>50</v>
      </c>
      <c r="M6" s="267">
        <f>'Objective Handling'!E8</f>
        <v>54.515418502202579</v>
      </c>
      <c r="N6" s="267">
        <f>'Penalties and Bonuses'!J6</f>
        <v>-10</v>
      </c>
      <c r="O6" s="216">
        <f>'Vehicle Weights'!G6</f>
        <v>0</v>
      </c>
      <c r="S6" s="60"/>
    </row>
    <row r="7" spans="1:19" s="172" customFormat="1" ht="15">
      <c r="A7" s="421" t="s">
        <v>197</v>
      </c>
      <c r="B7" s="60">
        <f>Paper!F68</f>
        <v>76.708333333333329</v>
      </c>
      <c r="C7" s="60">
        <f>Static!B8</f>
        <v>50</v>
      </c>
      <c r="D7" s="292">
        <f>MSRP!L10</f>
        <v>18</v>
      </c>
      <c r="E7" s="60">
        <f>'Subjective Handling '!M7</f>
        <v>0</v>
      </c>
      <c r="F7" s="81">
        <f>'Fuel Economy '!E13</f>
        <v>5</v>
      </c>
      <c r="G7" s="60">
        <f>Oral!AB7</f>
        <v>50.46875</v>
      </c>
      <c r="H7" s="60">
        <f>Noise!G8</f>
        <v>0</v>
      </c>
      <c r="I7" s="268">
        <f>Acceleration!E8</f>
        <v>0</v>
      </c>
      <c r="J7" s="267">
        <f>'Lab Emissions'!K8+'Lab Emissions'!O8</f>
        <v>0</v>
      </c>
      <c r="K7" s="267">
        <f>'In Service Emissions'!C9+'In Service Emissions'!I9</f>
        <v>0</v>
      </c>
      <c r="L7" s="267">
        <f>'Cold Start'!C7:C20</f>
        <v>0</v>
      </c>
      <c r="M7" s="267">
        <f>'Objective Handling'!E9</f>
        <v>0</v>
      </c>
      <c r="N7" s="267">
        <f>'Penalties and Bonuses'!J7</f>
        <v>0</v>
      </c>
      <c r="O7" s="216">
        <f>'Vehicle Weights'!G7</f>
        <v>0</v>
      </c>
      <c r="S7" s="267"/>
    </row>
    <row r="8" spans="1:19" s="172" customFormat="1" ht="15">
      <c r="A8" s="344" t="s">
        <v>198</v>
      </c>
      <c r="B8" s="60">
        <f>Paper!G68</f>
        <v>79.16</v>
      </c>
      <c r="C8" s="60">
        <f>Static!B9</f>
        <v>50</v>
      </c>
      <c r="D8" s="292">
        <f>MSRP!L11</f>
        <v>36.16363182838613</v>
      </c>
      <c r="E8" s="60">
        <f>'Subjective Handling '!M8</f>
        <v>37.928571428571431</v>
      </c>
      <c r="F8" s="81">
        <f>'Fuel Economy '!E14</f>
        <v>100</v>
      </c>
      <c r="G8" s="60">
        <f>Oral!AB8</f>
        <v>64.17647058823529</v>
      </c>
      <c r="H8" s="60">
        <f>Noise!G9</f>
        <v>18.883881176912499</v>
      </c>
      <c r="I8" s="268">
        <f>Acceleration!E9</f>
        <v>43.569553805774277</v>
      </c>
      <c r="J8" s="267">
        <f>'Lab Emissions'!K9+'Lab Emissions'!O9</f>
        <v>190.51992034288949</v>
      </c>
      <c r="K8" s="267">
        <f>'In Service Emissions'!C10+'In Service Emissions'!I10</f>
        <v>2.5</v>
      </c>
      <c r="L8" s="267">
        <f>'Cold Start'!C8:C21</f>
        <v>0</v>
      </c>
      <c r="M8" s="267">
        <f>'Objective Handling'!E10</f>
        <v>75</v>
      </c>
      <c r="N8" s="267">
        <f>'Penalties and Bonuses'!J8</f>
        <v>100</v>
      </c>
      <c r="O8" s="216">
        <f>'Vehicle Weights'!G8</f>
        <v>0</v>
      </c>
      <c r="S8" s="267"/>
    </row>
    <row r="9" spans="1:19" s="31" customFormat="1" ht="15">
      <c r="A9" s="344" t="s">
        <v>199</v>
      </c>
      <c r="B9" s="304">
        <f>Paper!H68</f>
        <v>72.228260869565219</v>
      </c>
      <c r="C9" s="305">
        <f>Static!B10</f>
        <v>50</v>
      </c>
      <c r="D9" s="292">
        <f>MSRP!L12</f>
        <v>46</v>
      </c>
      <c r="E9" s="60">
        <f>'Subjective Handling '!M9</f>
        <v>40.35</v>
      </c>
      <c r="F9" s="81">
        <f>'Fuel Economy '!E15</f>
        <v>184.4868735083532</v>
      </c>
      <c r="G9" s="60">
        <f>Oral!AB9</f>
        <v>69.55263157894737</v>
      </c>
      <c r="H9" s="60">
        <f>Noise!G10</f>
        <v>275</v>
      </c>
      <c r="I9" s="268">
        <f>Acceleration!E10</f>
        <v>33.989501312335946</v>
      </c>
      <c r="J9" s="267">
        <f>'Lab Emissions'!K10+'Lab Emissions'!O10</f>
        <v>295.69925356839593</v>
      </c>
      <c r="K9" s="267">
        <f>'In Service Emissions'!C11+'In Service Emissions'!I11</f>
        <v>88.420116966196389</v>
      </c>
      <c r="L9" s="267">
        <f>'Cold Start'!C9:C22</f>
        <v>50</v>
      </c>
      <c r="M9" s="267">
        <f>'Objective Handling'!E11</f>
        <v>45.759911894273102</v>
      </c>
      <c r="N9" s="267">
        <f>'Penalties and Bonuses'!J9</f>
        <v>100</v>
      </c>
      <c r="O9" s="216">
        <f>'Vehicle Weights'!G9</f>
        <v>0</v>
      </c>
      <c r="S9" s="304"/>
    </row>
    <row r="10" spans="1:19" ht="15">
      <c r="A10" s="421" t="s">
        <v>200</v>
      </c>
      <c r="B10" s="60">
        <f>Paper!I68</f>
        <v>86.1</v>
      </c>
      <c r="C10" s="60">
        <f>Static!B11</f>
        <v>50</v>
      </c>
      <c r="D10" s="292">
        <f>MSRP!L13</f>
        <v>44.712646545273131</v>
      </c>
      <c r="E10" s="60">
        <f>'Subjective Handling '!M10</f>
        <v>45</v>
      </c>
      <c r="F10" s="81">
        <f>'Fuel Economy '!E16</f>
        <v>178.75894988066827</v>
      </c>
      <c r="G10" s="60">
        <f>Oral!AB10</f>
        <v>69.40625</v>
      </c>
      <c r="H10" s="60">
        <f>Noise!G11</f>
        <v>134.71607558302458</v>
      </c>
      <c r="I10" s="268">
        <f>Acceleration!E11</f>
        <v>47.900262467191595</v>
      </c>
      <c r="J10" s="267">
        <f>'Lab Emissions'!K11+'Lab Emissions'!O11</f>
        <v>301.28066232663457</v>
      </c>
      <c r="K10" s="267">
        <f>'In Service Emissions'!C12+'In Service Emissions'!I12</f>
        <v>66.596333871777361</v>
      </c>
      <c r="L10" s="267">
        <f>'Cold Start'!C10:C23</f>
        <v>50</v>
      </c>
      <c r="M10" s="267">
        <f>'Objective Handling'!E12</f>
        <v>69.465859030837009</v>
      </c>
      <c r="N10" s="267">
        <f>'Penalties and Bonuses'!J10</f>
        <v>100</v>
      </c>
      <c r="O10" s="216">
        <f>'Vehicle Weights'!G10</f>
        <v>0</v>
      </c>
      <c r="S10" s="60"/>
    </row>
    <row r="11" spans="1:19" ht="15">
      <c r="A11" s="344" t="s">
        <v>212</v>
      </c>
      <c r="B11" s="60">
        <f>Paper!J68</f>
        <v>68.223684210526315</v>
      </c>
      <c r="C11" s="60">
        <f>Static!B12</f>
        <v>50</v>
      </c>
      <c r="D11" s="292">
        <f>MSRP!L14</f>
        <v>30.233225243202792</v>
      </c>
      <c r="E11" s="60">
        <f>'Subjective Handling '!M11</f>
        <v>39.361111111111114</v>
      </c>
      <c r="F11" s="81">
        <f>'Fuel Economy '!E17</f>
        <v>191.40811455847256</v>
      </c>
      <c r="G11" s="60">
        <f>Oral!AB11</f>
        <v>58.477272727272727</v>
      </c>
      <c r="H11" s="60">
        <f>Noise!G12</f>
        <v>72.434164902525694</v>
      </c>
      <c r="I11" s="268">
        <f>Acceleration!E12</f>
        <v>36.482939632545907</v>
      </c>
      <c r="J11" s="267">
        <f>'Lab Emissions'!K12+'Lab Emissions'!O12</f>
        <v>181.90230601269661</v>
      </c>
      <c r="K11" s="267">
        <f>'In Service Emissions'!C13+'In Service Emissions'!I13</f>
        <v>83.679582634064246</v>
      </c>
      <c r="L11" s="267">
        <f>'Cold Start'!C11:C24</f>
        <v>0</v>
      </c>
      <c r="M11" s="267">
        <f>'Objective Handling'!E13</f>
        <v>56.580396475770897</v>
      </c>
      <c r="N11" s="267">
        <f>'Penalties and Bonuses'!J11</f>
        <v>60</v>
      </c>
      <c r="O11" s="216">
        <f>'Vehicle Weights'!G11</f>
        <v>0</v>
      </c>
      <c r="S11" s="60"/>
    </row>
    <row r="12" spans="1:19" s="31" customFormat="1" ht="15">
      <c r="A12" s="344" t="s">
        <v>214</v>
      </c>
      <c r="B12" s="304">
        <f>Paper!K68</f>
        <v>59.75</v>
      </c>
      <c r="C12" s="305">
        <f>Static!B13</f>
        <v>50</v>
      </c>
      <c r="D12" s="292">
        <f>MSRP!L15</f>
        <v>37.78822649039661</v>
      </c>
      <c r="E12" s="60">
        <f>'Subjective Handling '!M12</f>
        <v>0</v>
      </c>
      <c r="F12" s="81">
        <f>'Fuel Economy '!E18</f>
        <v>5</v>
      </c>
      <c r="G12" s="60">
        <f>Oral!AB12</f>
        <v>54.277777777777779</v>
      </c>
      <c r="H12" s="60">
        <f>Noise!G13</f>
        <v>0</v>
      </c>
      <c r="I12" s="268">
        <f>Acceleration!E13</f>
        <v>41.076115485564301</v>
      </c>
      <c r="J12" s="267">
        <f>'Lab Emissions'!K13+'Lab Emissions'!O13</f>
        <v>10</v>
      </c>
      <c r="K12" s="267">
        <f>'In Service Emissions'!C14+'In Service Emissions'!I14</f>
        <v>61.032769742435541</v>
      </c>
      <c r="L12" s="267">
        <f>'Cold Start'!C12:C25</f>
        <v>0</v>
      </c>
      <c r="M12" s="267">
        <f>'Objective Handling'!E14</f>
        <v>0</v>
      </c>
      <c r="N12" s="267">
        <f>'Penalties and Bonuses'!J12</f>
        <v>0</v>
      </c>
      <c r="O12" s="216">
        <f>'Vehicle Weights'!G12</f>
        <v>0</v>
      </c>
      <c r="S12" s="304"/>
    </row>
    <row r="13" spans="1:19" s="143" customFormat="1" ht="15">
      <c r="A13" s="344" t="s">
        <v>215</v>
      </c>
      <c r="B13" s="60">
        <f>Paper!L68</f>
        <v>78.71875</v>
      </c>
      <c r="C13" s="60">
        <f>Static!B14</f>
        <v>50</v>
      </c>
      <c r="D13" s="292">
        <f>MSRP!L16</f>
        <v>31.420803192816162</v>
      </c>
      <c r="E13" s="60">
        <f>'Subjective Handling '!M13</f>
        <v>32.0625</v>
      </c>
      <c r="F13" s="81">
        <f>'Fuel Economy '!E19</f>
        <v>5</v>
      </c>
      <c r="G13" s="60">
        <f>Oral!AB13</f>
        <v>57.424999999999997</v>
      </c>
      <c r="H13" s="60">
        <f>Noise!G14</f>
        <v>0</v>
      </c>
      <c r="I13" s="268">
        <f>Acceleration!E14</f>
        <v>8.5301837270341139</v>
      </c>
      <c r="J13" s="267">
        <f>'Lab Emissions'!K14+'Lab Emissions'!O14</f>
        <v>338.95</v>
      </c>
      <c r="K13" s="267">
        <f>'In Service Emissions'!C15+'In Service Emissions'!I15</f>
        <v>0</v>
      </c>
      <c r="L13" s="267">
        <f>'Cold Start'!C13:C26</f>
        <v>50</v>
      </c>
      <c r="M13" s="267">
        <f>'Objective Handling'!E15</f>
        <v>2.5</v>
      </c>
      <c r="N13" s="267">
        <f>'Penalties and Bonuses'!J13</f>
        <v>-40</v>
      </c>
      <c r="O13" s="216">
        <f>'Vehicle Weights'!G13</f>
        <v>0</v>
      </c>
      <c r="P13" s="172"/>
      <c r="S13" s="158"/>
    </row>
    <row r="14" spans="1:19" ht="15">
      <c r="A14" s="438" t="s">
        <v>237</v>
      </c>
      <c r="B14" s="60">
        <f>Paper!M68</f>
        <v>0</v>
      </c>
      <c r="C14" s="60" t="str">
        <f>Static!B15</f>
        <v>WD</v>
      </c>
      <c r="D14" s="292">
        <f>MSRP!L17</f>
        <v>0</v>
      </c>
      <c r="E14" s="60">
        <f>'Subjective Handling '!M14</f>
        <v>0</v>
      </c>
      <c r="F14" s="81">
        <f>'Fuel Economy '!E20</f>
        <v>0</v>
      </c>
      <c r="G14" s="60">
        <f>Oral!AB14</f>
        <v>0</v>
      </c>
      <c r="H14" s="60">
        <f>Noise!G15</f>
        <v>0</v>
      </c>
      <c r="I14" s="268">
        <f>Acceleration!E15</f>
        <v>0</v>
      </c>
      <c r="J14" s="267">
        <f>'Lab Emissions'!K15+'Lab Emissions'!O15</f>
        <v>0</v>
      </c>
      <c r="K14" s="267">
        <f>'In Service Emissions'!C16+'In Service Emissions'!I16</f>
        <v>0</v>
      </c>
      <c r="L14" s="267">
        <f>'Cold Start'!C14:C27</f>
        <v>0</v>
      </c>
      <c r="M14" s="267">
        <f>'Objective Handling'!E16</f>
        <v>0</v>
      </c>
      <c r="N14" s="267">
        <f>'Penalties and Bonuses'!J14</f>
        <v>0</v>
      </c>
      <c r="O14" s="216">
        <f>'Vehicle Weights'!G14</f>
        <v>0</v>
      </c>
    </row>
    <row r="15" spans="1:19" ht="15">
      <c r="A15" s="344" t="s">
        <v>217</v>
      </c>
      <c r="B15" s="60">
        <f>Paper!N68</f>
        <v>69.529411764705884</v>
      </c>
      <c r="C15" s="60">
        <f>Static!B16</f>
        <v>50</v>
      </c>
      <c r="D15" s="292">
        <f>MSRP!L18</f>
        <v>35.60364180593664</v>
      </c>
      <c r="E15" s="60">
        <f>'Subjective Handling '!M15</f>
        <v>0</v>
      </c>
      <c r="F15" s="81">
        <f>'Fuel Economy '!E21</f>
        <v>0</v>
      </c>
      <c r="G15" s="60">
        <f>Oral!AB15</f>
        <v>55.852941176470587</v>
      </c>
      <c r="H15" s="60">
        <f>Noise!G16</f>
        <v>0</v>
      </c>
      <c r="I15" s="268">
        <f>Acceleration!E16</f>
        <v>0</v>
      </c>
      <c r="J15" s="267">
        <f>'Lab Emissions'!K16+'Lab Emissions'!O16</f>
        <v>0</v>
      </c>
      <c r="K15" s="267">
        <f>'In Service Emissions'!C17+'In Service Emissions'!I17</f>
        <v>0</v>
      </c>
      <c r="L15" s="267">
        <f>'Cold Start'!C15:C28</f>
        <v>0</v>
      </c>
      <c r="M15" s="267">
        <f>'Objective Handling'!E17</f>
        <v>0</v>
      </c>
      <c r="N15" s="267">
        <f>'Penalties and Bonuses'!J15</f>
        <v>0</v>
      </c>
      <c r="O15" s="216">
        <f>'Vehicle Weights'!G15</f>
        <v>0</v>
      </c>
    </row>
    <row r="16" spans="1:19" ht="15">
      <c r="A16" s="438" t="s">
        <v>239</v>
      </c>
      <c r="B16" s="60">
        <f>Paper!O68</f>
        <v>49.3</v>
      </c>
      <c r="C16" s="60" t="str">
        <f>Static!B17</f>
        <v>WD</v>
      </c>
      <c r="D16" s="292">
        <f>MSRP!L19</f>
        <v>0</v>
      </c>
      <c r="E16" s="60">
        <f>'Subjective Handling '!M16</f>
        <v>0</v>
      </c>
      <c r="F16" s="81">
        <f>'Fuel Economy '!E22</f>
        <v>0</v>
      </c>
      <c r="G16" s="60">
        <f>Oral!AB16</f>
        <v>50.545454545454547</v>
      </c>
      <c r="H16" s="60">
        <f>Noise!G17</f>
        <v>0</v>
      </c>
      <c r="I16" s="268">
        <f>Acceleration!E17</f>
        <v>0</v>
      </c>
      <c r="J16" s="267">
        <f>'Lab Emissions'!K17+'Lab Emissions'!O17</f>
        <v>0</v>
      </c>
      <c r="K16" s="267">
        <f>'In Service Emissions'!C18+'In Service Emissions'!I18</f>
        <v>0</v>
      </c>
      <c r="L16" s="267">
        <f>'Cold Start'!C16:C29</f>
        <v>0</v>
      </c>
      <c r="M16" s="267">
        <f>'Objective Handling'!E18</f>
        <v>0</v>
      </c>
      <c r="N16" s="267">
        <f>'Penalties and Bonuses'!J16</f>
        <v>0</v>
      </c>
      <c r="O16" s="216">
        <f>'Vehicle Weights'!G16</f>
        <v>0</v>
      </c>
    </row>
    <row r="17" spans="1:15" ht="15">
      <c r="A17" s="438" t="s">
        <v>238</v>
      </c>
      <c r="B17" s="60">
        <f>Paper!P68</f>
        <v>66.2</v>
      </c>
      <c r="C17" s="60" t="str">
        <f>Static!B18</f>
        <v>WD</v>
      </c>
      <c r="D17" s="292">
        <f>MSRP!L20</f>
        <v>8.6929408830132218</v>
      </c>
      <c r="E17" s="60">
        <f>'Subjective Handling '!M17</f>
        <v>0</v>
      </c>
      <c r="F17" s="81">
        <f>'Fuel Economy '!E23</f>
        <v>0</v>
      </c>
      <c r="G17" s="60">
        <f>Oral!AB17</f>
        <v>0</v>
      </c>
      <c r="H17" s="60">
        <f>Noise!G18</f>
        <v>0</v>
      </c>
      <c r="I17" s="268">
        <f>Acceleration!E18</f>
        <v>0</v>
      </c>
      <c r="J17" s="267">
        <f>'Lab Emissions'!K18+'Lab Emissions'!O18</f>
        <v>0</v>
      </c>
      <c r="K17" s="267">
        <f>'In Service Emissions'!C19+'In Service Emissions'!I19</f>
        <v>0</v>
      </c>
      <c r="L17" s="267">
        <f>'Cold Start'!C17:C30</f>
        <v>0</v>
      </c>
      <c r="M17" s="267">
        <f>'Objective Handling'!E19</f>
        <v>0</v>
      </c>
      <c r="N17" s="267">
        <f>'Penalties and Bonuses'!J17</f>
        <v>0</v>
      </c>
      <c r="O17" s="216">
        <f>'Vehicle Weights'!G17</f>
        <v>0</v>
      </c>
    </row>
    <row r="18" spans="1:15">
      <c r="B18" s="2" t="s">
        <v>46</v>
      </c>
      <c r="C18" s="2" t="s">
        <v>46</v>
      </c>
      <c r="D18" s="2" t="s">
        <v>46</v>
      </c>
      <c r="E18" s="2" t="s">
        <v>46</v>
      </c>
      <c r="F18" s="2" t="s">
        <v>46</v>
      </c>
      <c r="G18" s="2" t="s">
        <v>46</v>
      </c>
      <c r="H18" s="2" t="s">
        <v>46</v>
      </c>
      <c r="I18" s="2" t="s">
        <v>46</v>
      </c>
      <c r="J18" s="2" t="s">
        <v>46</v>
      </c>
      <c r="K18" s="2" t="s">
        <v>46</v>
      </c>
      <c r="L18" s="2" t="s">
        <v>46</v>
      </c>
      <c r="M18" s="2" t="s">
        <v>46</v>
      </c>
      <c r="N18" s="13"/>
      <c r="O18" s="2" t="s">
        <v>46</v>
      </c>
    </row>
    <row r="19" spans="1:15">
      <c r="A19" s="10"/>
      <c r="B19" s="20" t="s">
        <v>19</v>
      </c>
      <c r="C19" s="17" t="s">
        <v>19</v>
      </c>
      <c r="D19" s="17" t="s">
        <v>22</v>
      </c>
      <c r="E19" s="34" t="s">
        <v>46</v>
      </c>
      <c r="F19" s="17" t="s">
        <v>19</v>
      </c>
      <c r="G19" s="33"/>
      <c r="H19" s="33"/>
      <c r="I19" s="67"/>
      <c r="L19" s="54"/>
      <c r="M19" s="35"/>
      <c r="N19" s="9"/>
      <c r="O19" s="6"/>
    </row>
    <row r="20" spans="1:15">
      <c r="A20" s="6"/>
      <c r="B20" s="20" t="s">
        <v>18</v>
      </c>
      <c r="C20" s="20" t="s">
        <v>21</v>
      </c>
      <c r="D20" s="5" t="s">
        <v>23</v>
      </c>
      <c r="E20" s="20" t="s">
        <v>19</v>
      </c>
      <c r="F20" s="5" t="s">
        <v>24</v>
      </c>
      <c r="G20" s="20" t="s">
        <v>25</v>
      </c>
      <c r="H20" s="20" t="s">
        <v>27</v>
      </c>
      <c r="L20" s="54"/>
      <c r="M20" s="35"/>
      <c r="N20" s="9"/>
      <c r="O20" s="6"/>
    </row>
    <row r="21" spans="1:15">
      <c r="A21" s="6"/>
      <c r="B21" s="20" t="s">
        <v>20</v>
      </c>
      <c r="C21" s="20" t="s">
        <v>20</v>
      </c>
      <c r="D21" s="5" t="s">
        <v>20</v>
      </c>
      <c r="E21" s="20" t="s">
        <v>50</v>
      </c>
      <c r="F21" s="5" t="s">
        <v>20</v>
      </c>
      <c r="G21" s="20" t="s">
        <v>9</v>
      </c>
      <c r="H21" s="20" t="s">
        <v>26</v>
      </c>
      <c r="L21" s="54"/>
      <c r="M21" s="35"/>
      <c r="N21" s="9"/>
      <c r="O21" s="6"/>
    </row>
    <row r="22" spans="1:15" ht="15">
      <c r="A22" s="344" t="s">
        <v>194</v>
      </c>
      <c r="B22" s="81">
        <f t="shared" ref="B22:B35" si="0">IF(AND(H4&gt;0,J4&gt;0,I4&gt;0),(I4+M4),"Not Eligible")</f>
        <v>67.776371015297059</v>
      </c>
      <c r="C22" s="81">
        <f t="shared" ref="C22:C35" si="1">IF(AND(J4&gt;0,H4&gt;0,I4&gt;0),(B4+G4+C4),"Not Eligible")</f>
        <v>175.25657894736841</v>
      </c>
      <c r="D22" s="419">
        <f>(H4+'Lab Emissions'!K5)/MSRP!C7</f>
        <v>2.9180772290228103E-2</v>
      </c>
      <c r="E22" s="164">
        <f t="shared" ref="E22:E35" si="2">E4+M4</f>
        <v>76.736508810572673</v>
      </c>
      <c r="F22" s="419">
        <f>(F4+I4+M4+E4+L4)/MSRP!C7</f>
        <v>2.141487798367284E-2</v>
      </c>
      <c r="G22" s="17">
        <f t="shared" ref="G22:G35" si="3">SUM(B4:O4)</f>
        <v>1156.5705170793631</v>
      </c>
      <c r="H22" s="5">
        <f>RANK(G22,$G$22:$G$37)</f>
        <v>4</v>
      </c>
      <c r="I22" s="165"/>
      <c r="L22" s="54"/>
      <c r="M22" s="35"/>
      <c r="N22" s="19"/>
      <c r="O22" s="6"/>
    </row>
    <row r="23" spans="1:15" ht="15">
      <c r="A23" s="344" t="s">
        <v>195</v>
      </c>
      <c r="B23" s="81">
        <f t="shared" si="0"/>
        <v>90.391619549758929</v>
      </c>
      <c r="C23" s="81">
        <f t="shared" si="1"/>
        <v>192.5497076023392</v>
      </c>
      <c r="D23" s="419">
        <f>(H5+'Lab Emissions'!K6)/MSRP!C8</f>
        <v>4.4335181107145571E-2</v>
      </c>
      <c r="E23" s="164">
        <f t="shared" si="2"/>
        <v>85.424865394028416</v>
      </c>
      <c r="F23" s="419">
        <f>(F5+I5+M5+E5+L5)/MSRP!C8</f>
        <v>2.7700151328572165E-2</v>
      </c>
      <c r="G23" s="17">
        <f t="shared" si="3"/>
        <v>1254.6414565209782</v>
      </c>
      <c r="H23" s="5">
        <f t="shared" ref="H23:H35" si="4">RANK(G23,$G$22:$G$37)</f>
        <v>2</v>
      </c>
      <c r="L23" s="54"/>
      <c r="M23" s="35"/>
      <c r="N23" s="19"/>
      <c r="O23" s="6"/>
    </row>
    <row r="24" spans="1:15" s="172" customFormat="1" ht="15">
      <c r="A24" s="344" t="s">
        <v>196</v>
      </c>
      <c r="B24" s="81">
        <f t="shared" si="0"/>
        <v>104.51541850220258</v>
      </c>
      <c r="C24" s="81">
        <f t="shared" si="1"/>
        <v>195.70728291316527</v>
      </c>
      <c r="D24" s="419">
        <f>(H6+'Lab Emissions'!K7)/MSRP!C9</f>
        <v>1.4455786646543818E-2</v>
      </c>
      <c r="E24" s="164">
        <f t="shared" si="2"/>
        <v>98.765418502202579</v>
      </c>
      <c r="F24" s="419">
        <f>(F6+I6+M6+E6+L6)/MSRP!C9</f>
        <v>1.367920371255388E-2</v>
      </c>
      <c r="G24" s="17">
        <f t="shared" si="3"/>
        <v>697.53076792048273</v>
      </c>
      <c r="H24" s="5">
        <f t="shared" si="4"/>
        <v>7</v>
      </c>
      <c r="J24" s="274"/>
      <c r="K24" s="259"/>
      <c r="L24" s="275"/>
      <c r="M24" s="272"/>
      <c r="N24" s="276"/>
      <c r="O24" s="264"/>
    </row>
    <row r="25" spans="1:15" ht="15">
      <c r="A25" s="421" t="s">
        <v>197</v>
      </c>
      <c r="B25" s="81" t="str">
        <f t="shared" si="0"/>
        <v>Not Eligible</v>
      </c>
      <c r="C25" s="81" t="str">
        <f t="shared" si="1"/>
        <v>Not Eligible</v>
      </c>
      <c r="D25" s="419">
        <f>(H7+'Lab Emissions'!K8)/MSRP!C10</f>
        <v>0</v>
      </c>
      <c r="E25" s="164">
        <f t="shared" si="2"/>
        <v>0</v>
      </c>
      <c r="F25" s="419">
        <f>(F7+I7+M7+E7+L7)/MSRP!C10</f>
        <v>2.6871607459558232E-4</v>
      </c>
      <c r="G25" s="17">
        <f t="shared" si="3"/>
        <v>200.17708333333331</v>
      </c>
      <c r="H25" s="5">
        <f t="shared" si="4"/>
        <v>11</v>
      </c>
      <c r="L25" s="54"/>
      <c r="M25" s="35"/>
      <c r="N25" s="19"/>
      <c r="O25" s="6"/>
    </row>
    <row r="26" spans="1:15" ht="15">
      <c r="A26" s="344" t="s">
        <v>198</v>
      </c>
      <c r="B26" s="81">
        <f t="shared" si="0"/>
        <v>118.56955380577428</v>
      </c>
      <c r="C26" s="81">
        <f t="shared" si="1"/>
        <v>193.33647058823527</v>
      </c>
      <c r="D26" s="419">
        <f>(H8+'Lab Emissions'!K9)/MSRP!C11</f>
        <v>1.6701070435962109E-2</v>
      </c>
      <c r="E26" s="164">
        <f t="shared" si="2"/>
        <v>112.92857142857143</v>
      </c>
      <c r="F26" s="419">
        <f>(F8+I8+M8+E8+L8)/MSRP!C11</f>
        <v>2.1150995731371792E-2</v>
      </c>
      <c r="G26" s="17">
        <f t="shared" si="3"/>
        <v>797.90202917076908</v>
      </c>
      <c r="H26" s="5">
        <f t="shared" si="4"/>
        <v>6</v>
      </c>
      <c r="L26" s="54"/>
      <c r="M26" s="35"/>
      <c r="N26" s="19"/>
      <c r="O26" s="6"/>
    </row>
    <row r="27" spans="1:15" ht="15">
      <c r="A27" s="344" t="s">
        <v>199</v>
      </c>
      <c r="B27" s="81">
        <f t="shared" si="0"/>
        <v>79.749413206609049</v>
      </c>
      <c r="C27" s="81">
        <f t="shared" si="1"/>
        <v>191.78089244851259</v>
      </c>
      <c r="D27" s="419">
        <f>(H9+'Lab Emissions'!K10)/MSRP!C12</f>
        <v>5.2322221172915288E-2</v>
      </c>
      <c r="E27" s="164">
        <f t="shared" si="2"/>
        <v>86.109911894273097</v>
      </c>
      <c r="F27" s="419">
        <f>(F9+I9+M9+E9+L9)/MSRP!C12</f>
        <v>3.3486286402395156E-2</v>
      </c>
      <c r="G27" s="17">
        <f t="shared" si="3"/>
        <v>1351.4865496980672</v>
      </c>
      <c r="H27" s="5">
        <f t="shared" si="4"/>
        <v>1</v>
      </c>
      <c r="I27" s="165"/>
      <c r="L27" s="54"/>
      <c r="M27" s="35"/>
      <c r="N27" s="19"/>
      <c r="O27" s="6"/>
    </row>
    <row r="28" spans="1:15" ht="15">
      <c r="A28" s="421" t="s">
        <v>200</v>
      </c>
      <c r="B28" s="81">
        <f t="shared" si="0"/>
        <v>117.3661214980286</v>
      </c>
      <c r="C28" s="81">
        <f t="shared" si="1"/>
        <v>205.50624999999999</v>
      </c>
      <c r="D28" s="419">
        <f>(H10+'Lab Emissions'!K11)/MSRP!C13</f>
        <v>3.6239881416915053E-2</v>
      </c>
      <c r="E28" s="164">
        <f t="shared" si="2"/>
        <v>114.46585903083701</v>
      </c>
      <c r="F28" s="419">
        <f>(F10+I10+M10+E10+L10)/MSRP!C13</f>
        <v>3.3993140220641135E-2</v>
      </c>
      <c r="G28" s="17">
        <f t="shared" si="3"/>
        <v>1243.9370397054065</v>
      </c>
      <c r="H28" s="5">
        <f t="shared" si="4"/>
        <v>3</v>
      </c>
      <c r="L28" s="54"/>
      <c r="M28" s="35"/>
      <c r="N28" s="19"/>
      <c r="O28" s="6"/>
    </row>
    <row r="29" spans="1:15" ht="15">
      <c r="A29" s="344" t="s">
        <v>212</v>
      </c>
      <c r="B29" s="81">
        <f t="shared" si="0"/>
        <v>93.063336108316804</v>
      </c>
      <c r="C29" s="81">
        <f t="shared" si="1"/>
        <v>176.70095693779905</v>
      </c>
      <c r="D29" s="419">
        <f>(H11+'Lab Emissions'!K12)/MSRP!C14</f>
        <v>1.8917133192202056E-2</v>
      </c>
      <c r="E29" s="164">
        <f t="shared" si="2"/>
        <v>95.941507586882011</v>
      </c>
      <c r="F29" s="419">
        <f>(F11+I11+M11+E11+L11)/MSRP!C14</f>
        <v>2.5906604942232035E-2</v>
      </c>
      <c r="G29" s="17">
        <f t="shared" si="3"/>
        <v>928.78279750818888</v>
      </c>
      <c r="H29" s="5">
        <f t="shared" si="4"/>
        <v>5</v>
      </c>
      <c r="L29" s="54"/>
      <c r="M29" s="35"/>
      <c r="N29" s="19"/>
      <c r="O29" s="6"/>
    </row>
    <row r="30" spans="1:15" ht="15">
      <c r="A30" s="344" t="s">
        <v>214</v>
      </c>
      <c r="B30" s="81" t="str">
        <f t="shared" si="0"/>
        <v>Not Eligible</v>
      </c>
      <c r="C30" s="81" t="str">
        <f t="shared" si="1"/>
        <v>Not Eligible</v>
      </c>
      <c r="D30" s="419">
        <f>(H12+'Lab Emissions'!K13)/MSRP!C15</f>
        <v>7.0018204733230641E-4</v>
      </c>
      <c r="E30" s="164">
        <f t="shared" si="2"/>
        <v>0</v>
      </c>
      <c r="F30" s="419">
        <f>(F12+I12+M12+E12+L12)/MSRP!C15</f>
        <v>3.22616688738022E-3</v>
      </c>
      <c r="G30" s="17">
        <f t="shared" si="3"/>
        <v>318.92488949617422</v>
      </c>
      <c r="H30" s="5">
        <f t="shared" si="4"/>
        <v>9</v>
      </c>
      <c r="L30" s="54"/>
      <c r="M30" s="35"/>
      <c r="N30" s="19"/>
      <c r="O30" s="6"/>
    </row>
    <row r="31" spans="1:15" s="172" customFormat="1" ht="15">
      <c r="A31" s="344" t="s">
        <v>215</v>
      </c>
      <c r="B31" s="81" t="str">
        <f t="shared" si="0"/>
        <v>Not Eligible</v>
      </c>
      <c r="C31" s="81" t="str">
        <f t="shared" si="1"/>
        <v>Not Eligible</v>
      </c>
      <c r="D31" s="419">
        <f>(H13+'Lab Emissions'!K14)/MSRP!C16</f>
        <v>2.4860191000602255E-2</v>
      </c>
      <c r="E31" s="164">
        <f t="shared" si="2"/>
        <v>34.5625</v>
      </c>
      <c r="F31" s="419">
        <f>(F13+I13+M13+E13+L13)/MSRP!C16</f>
        <v>8.4395322831484227E-3</v>
      </c>
      <c r="G31" s="17">
        <f t="shared" si="3"/>
        <v>614.60723691985027</v>
      </c>
      <c r="H31" s="5">
        <f t="shared" si="4"/>
        <v>8</v>
      </c>
      <c r="J31" s="274"/>
      <c r="K31" s="259"/>
      <c r="L31" s="275"/>
      <c r="M31" s="272"/>
      <c r="N31" s="276"/>
      <c r="O31" s="264"/>
    </row>
    <row r="32" spans="1:15" ht="15">
      <c r="A32" s="438" t="s">
        <v>237</v>
      </c>
      <c r="B32" s="81" t="str">
        <f t="shared" si="0"/>
        <v>Not Eligible</v>
      </c>
      <c r="C32" s="81" t="str">
        <f t="shared" si="1"/>
        <v>Not Eligible</v>
      </c>
      <c r="D32" s="419"/>
      <c r="E32" s="164">
        <f t="shared" si="2"/>
        <v>0</v>
      </c>
      <c r="F32" s="419"/>
      <c r="G32" s="17">
        <f t="shared" si="3"/>
        <v>0</v>
      </c>
      <c r="H32" s="5">
        <f t="shared" si="4"/>
        <v>14</v>
      </c>
      <c r="L32" s="54"/>
      <c r="M32" s="35"/>
      <c r="N32" s="19"/>
      <c r="O32" s="6"/>
    </row>
    <row r="33" spans="1:15" ht="15">
      <c r="A33" s="344" t="s">
        <v>217</v>
      </c>
      <c r="B33" s="81" t="str">
        <f t="shared" si="0"/>
        <v>Not Eligible</v>
      </c>
      <c r="C33" s="81" t="str">
        <f t="shared" si="1"/>
        <v>Not Eligible</v>
      </c>
      <c r="D33" s="419">
        <f>(H15+'Lab Emissions'!K16)/MSRP!C18</f>
        <v>0</v>
      </c>
      <c r="E33" s="164">
        <f t="shared" si="2"/>
        <v>0</v>
      </c>
      <c r="F33" s="419">
        <f>(F15+I15+M15+E15+L15)/MSRP!C18</f>
        <v>0</v>
      </c>
      <c r="G33" s="17">
        <f t="shared" si="3"/>
        <v>210.9859947471131</v>
      </c>
      <c r="H33" s="5">
        <f t="shared" si="4"/>
        <v>10</v>
      </c>
      <c r="L33" s="54"/>
      <c r="M33" s="35"/>
      <c r="N33" s="19"/>
      <c r="O33" s="6"/>
    </row>
    <row r="34" spans="1:15" ht="15">
      <c r="A34" s="438" t="s">
        <v>239</v>
      </c>
      <c r="B34" s="81" t="str">
        <f t="shared" si="0"/>
        <v>Not Eligible</v>
      </c>
      <c r="C34" s="81" t="str">
        <f t="shared" si="1"/>
        <v>Not Eligible</v>
      </c>
      <c r="D34" s="419"/>
      <c r="E34" s="164">
        <f t="shared" si="2"/>
        <v>0</v>
      </c>
      <c r="F34" s="419"/>
      <c r="G34" s="17">
        <f t="shared" si="3"/>
        <v>99.845454545454544</v>
      </c>
      <c r="H34" s="5">
        <f t="shared" si="4"/>
        <v>12</v>
      </c>
    </row>
    <row r="35" spans="1:15" ht="15">
      <c r="A35" s="438" t="s">
        <v>238</v>
      </c>
      <c r="B35" s="81" t="str">
        <f t="shared" si="0"/>
        <v>Not Eligible</v>
      </c>
      <c r="C35" s="81" t="str">
        <f t="shared" si="1"/>
        <v>Not Eligible</v>
      </c>
      <c r="D35" s="419">
        <f>(H17+'Lab Emissions'!K18)/MSRP!C20</f>
        <v>0</v>
      </c>
      <c r="E35" s="164">
        <f t="shared" si="2"/>
        <v>0</v>
      </c>
      <c r="F35" s="419">
        <f>(F17+I17+M17+E17+L17)/MSRP!C20</f>
        <v>0</v>
      </c>
      <c r="G35" s="17">
        <f t="shared" si="3"/>
        <v>74.892940883013225</v>
      </c>
      <c r="H35" s="5">
        <f t="shared" si="4"/>
        <v>13</v>
      </c>
    </row>
    <row r="39" spans="1:15" s="67" customFormat="1">
      <c r="A39" s="130"/>
      <c r="B39" s="190"/>
      <c r="C39" s="190"/>
      <c r="D39" s="191"/>
      <c r="E39" s="191"/>
      <c r="F39" s="191"/>
      <c r="G39" s="188"/>
      <c r="H39" s="192"/>
      <c r="I39" s="68"/>
      <c r="J39" s="37"/>
      <c r="K39" s="135"/>
      <c r="L39" s="68"/>
      <c r="M39" s="68"/>
      <c r="N39" s="68"/>
      <c r="O39" s="38"/>
    </row>
    <row r="40" spans="1:15" s="67" customFormat="1">
      <c r="A40" s="130"/>
      <c r="B40" s="272">
        <f>MAX(B22:B35)</f>
        <v>118.56955380577428</v>
      </c>
      <c r="C40" s="272">
        <f>MAX(C22:C35)</f>
        <v>205.50624999999999</v>
      </c>
      <c r="D40" s="418">
        <f>MAX(D22:D35)</f>
        <v>5.2322221172915288E-2</v>
      </c>
      <c r="E40" s="418">
        <f>MAX(E22:E35)</f>
        <v>114.46585903083701</v>
      </c>
      <c r="F40" s="418">
        <f>MAX(F22:F35)</f>
        <v>3.3993140220641135E-2</v>
      </c>
      <c r="G40" s="188"/>
      <c r="H40" s="192"/>
      <c r="I40" s="68"/>
      <c r="J40" s="37"/>
      <c r="K40" s="135"/>
      <c r="L40" s="68"/>
      <c r="M40" s="68"/>
      <c r="N40" s="68"/>
      <c r="O40" s="38"/>
    </row>
    <row r="41" spans="1:15" s="67" customFormat="1">
      <c r="C41" s="168"/>
      <c r="F41" s="81"/>
      <c r="G41" s="37"/>
      <c r="H41" s="68"/>
      <c r="I41" s="68"/>
      <c r="J41" s="37"/>
      <c r="K41" s="135"/>
      <c r="L41" s="68"/>
      <c r="M41" s="68"/>
      <c r="N41" s="68"/>
      <c r="O41" s="38"/>
    </row>
    <row r="42" spans="1:15" s="67" customFormat="1" ht="15">
      <c r="A42" s="473" t="s">
        <v>133</v>
      </c>
      <c r="B42" s="483" t="str">
        <f>A27</f>
        <v>#6 Univ of Wisconsin Madison</v>
      </c>
      <c r="C42" s="483"/>
      <c r="D42" s="483"/>
      <c r="E42" s="483"/>
      <c r="F42" s="81"/>
      <c r="G42" s="37"/>
      <c r="H42" s="68"/>
      <c r="I42" s="38"/>
      <c r="J42" s="207"/>
      <c r="K42" s="135"/>
      <c r="L42" s="38"/>
      <c r="M42" s="38"/>
      <c r="N42" s="38"/>
      <c r="O42" s="38"/>
    </row>
    <row r="43" spans="1:15" s="67" customFormat="1" ht="20.25" customHeight="1">
      <c r="A43" s="473" t="s">
        <v>134</v>
      </c>
      <c r="B43" s="485" t="str">
        <f>A23</f>
        <v>#2 Kettering</v>
      </c>
      <c r="C43" s="485"/>
      <c r="D43" s="485"/>
      <c r="E43" s="485"/>
      <c r="F43" s="81"/>
      <c r="G43" s="37"/>
      <c r="H43" s="68"/>
      <c r="I43" s="38"/>
      <c r="J43" s="207"/>
      <c r="K43" s="135"/>
      <c r="L43" s="38"/>
      <c r="M43" s="38"/>
      <c r="N43" s="38"/>
      <c r="O43" s="38"/>
    </row>
    <row r="44" spans="1:15" s="67" customFormat="1" ht="19.5" customHeight="1">
      <c r="A44" s="473" t="s">
        <v>135</v>
      </c>
      <c r="B44" s="483" t="str">
        <f>A28</f>
        <v>#7 Univ of Idaho</v>
      </c>
      <c r="C44" s="483"/>
      <c r="D44" s="483"/>
      <c r="E44" s="483"/>
      <c r="F44" s="81"/>
      <c r="G44" s="37"/>
      <c r="H44" s="68"/>
      <c r="I44" s="38"/>
      <c r="J44" s="207"/>
      <c r="K44" s="135"/>
      <c r="L44" s="38"/>
      <c r="M44" s="38"/>
      <c r="N44" s="38"/>
      <c r="O44" s="38"/>
    </row>
    <row r="45" spans="1:15" s="67" customFormat="1" ht="14.45" customHeight="1">
      <c r="A45" s="473" t="s">
        <v>157</v>
      </c>
      <c r="B45" s="484" t="str">
        <f>A26</f>
        <v>#5 Michigan Tech</v>
      </c>
      <c r="C45" s="484"/>
      <c r="D45" s="484"/>
      <c r="E45" s="484"/>
      <c r="F45" s="81"/>
      <c r="G45" s="38"/>
      <c r="H45" s="38"/>
      <c r="I45" s="38"/>
      <c r="J45" s="207"/>
      <c r="K45" s="135"/>
      <c r="L45" s="38"/>
      <c r="M45" s="38"/>
      <c r="N45" s="38"/>
      <c r="O45" s="38"/>
    </row>
    <row r="46" spans="1:15" s="67" customFormat="1" ht="14.45" customHeight="1">
      <c r="A46" s="473" t="s">
        <v>70</v>
      </c>
      <c r="B46" s="484" t="str">
        <f>A28</f>
        <v>#7 Univ of Idaho</v>
      </c>
      <c r="C46" s="484"/>
      <c r="D46" s="484"/>
      <c r="E46" s="484"/>
      <c r="F46" s="272" t="s">
        <v>336</v>
      </c>
      <c r="G46" s="38" t="str">
        <f>A26</f>
        <v>#5 Michigan Tech</v>
      </c>
      <c r="H46" s="38"/>
      <c r="I46" s="38"/>
      <c r="J46" s="207"/>
      <c r="K46" s="135"/>
      <c r="L46" s="38"/>
      <c r="M46" s="38"/>
      <c r="N46" s="38"/>
      <c r="O46" s="38"/>
    </row>
    <row r="47" spans="1:15" s="67" customFormat="1" ht="14.45" customHeight="1">
      <c r="A47" s="473" t="s">
        <v>92</v>
      </c>
      <c r="B47" s="483" t="str">
        <f>A31</f>
        <v>#11 SUNY Buffalo</v>
      </c>
      <c r="C47" s="483"/>
      <c r="D47" s="483"/>
      <c r="E47" s="483"/>
      <c r="F47" s="81"/>
      <c r="G47" s="38"/>
      <c r="H47" s="38"/>
      <c r="I47" s="38"/>
      <c r="J47" s="207"/>
      <c r="K47" s="135"/>
      <c r="L47" s="38"/>
      <c r="M47" s="38"/>
      <c r="N47" s="38"/>
      <c r="O47" s="38"/>
    </row>
    <row r="48" spans="1:15" ht="14.45" customHeight="1">
      <c r="A48" s="474" t="s">
        <v>93</v>
      </c>
      <c r="B48" s="484" t="str">
        <f>A23</f>
        <v>#2 Kettering</v>
      </c>
      <c r="C48" s="484"/>
      <c r="D48" s="484"/>
      <c r="E48" s="484"/>
      <c r="F48" s="81"/>
    </row>
    <row r="49" spans="1:15" s="67" customFormat="1" ht="14.45" customHeight="1">
      <c r="A49" s="473" t="s">
        <v>71</v>
      </c>
      <c r="B49" s="484" t="str">
        <f>A28</f>
        <v>#7 Univ of Idaho</v>
      </c>
      <c r="C49" s="484"/>
      <c r="D49" s="484"/>
      <c r="E49" s="484"/>
      <c r="F49" s="81"/>
      <c r="G49" s="38"/>
      <c r="H49" s="38"/>
      <c r="I49" s="38"/>
      <c r="J49" s="207"/>
      <c r="K49" s="135"/>
      <c r="L49" s="38"/>
      <c r="M49" s="38"/>
      <c r="N49" s="38"/>
      <c r="O49" s="38"/>
    </row>
    <row r="50" spans="1:15" s="67" customFormat="1" ht="14.45" customHeight="1">
      <c r="A50" s="473" t="s">
        <v>72</v>
      </c>
      <c r="B50" s="484" t="str">
        <f>A22</f>
        <v>#1 Clarkston</v>
      </c>
      <c r="C50" s="484"/>
      <c r="D50" s="484"/>
      <c r="E50" s="484"/>
      <c r="F50" s="81"/>
      <c r="G50" s="38"/>
      <c r="H50" s="38"/>
      <c r="I50" s="38"/>
      <c r="J50" s="207"/>
      <c r="K50" s="135"/>
      <c r="L50" s="38"/>
      <c r="M50" s="38"/>
      <c r="N50" s="38"/>
      <c r="O50" s="38"/>
    </row>
    <row r="51" spans="1:15" s="67" customFormat="1" ht="14.45" customHeight="1">
      <c r="A51" s="473" t="s">
        <v>158</v>
      </c>
      <c r="B51" s="484" t="str">
        <f>A23</f>
        <v>#2 Kettering</v>
      </c>
      <c r="C51" s="484"/>
      <c r="D51" s="484"/>
      <c r="E51" s="484"/>
      <c r="F51" s="81"/>
      <c r="G51" s="38"/>
      <c r="H51" s="38"/>
      <c r="I51" s="38"/>
      <c r="J51" s="207"/>
      <c r="K51" s="135"/>
      <c r="L51" s="38"/>
      <c r="M51" s="38"/>
      <c r="N51" s="38"/>
      <c r="O51" s="38"/>
    </row>
    <row r="52" spans="1:15" ht="14.45" customHeight="1">
      <c r="A52" s="475" t="s">
        <v>73</v>
      </c>
      <c r="B52" s="484" t="str">
        <f>A27</f>
        <v>#6 Univ of Wisconsin Madison</v>
      </c>
      <c r="C52" s="484"/>
      <c r="D52" s="484"/>
      <c r="E52" s="484"/>
      <c r="F52" s="81"/>
      <c r="G52" s="38"/>
      <c r="H52" s="38"/>
      <c r="I52" s="6"/>
      <c r="J52" s="205"/>
      <c r="K52" s="18"/>
      <c r="L52" s="6"/>
      <c r="M52" s="6"/>
      <c r="N52" s="6"/>
      <c r="O52" s="6"/>
    </row>
    <row r="53" spans="1:15" ht="14.45" customHeight="1">
      <c r="A53" s="475" t="s">
        <v>74</v>
      </c>
      <c r="B53" s="484" t="str">
        <f>A28</f>
        <v>#7 Univ of Idaho</v>
      </c>
      <c r="C53" s="484"/>
      <c r="D53" s="484"/>
      <c r="E53" s="484"/>
      <c r="F53" s="81"/>
      <c r="G53" s="38"/>
      <c r="H53" s="38"/>
    </row>
    <row r="54" spans="1:15" ht="18" customHeight="1">
      <c r="A54" s="121" t="s">
        <v>79</v>
      </c>
      <c r="B54" s="483" t="str">
        <f>A24</f>
        <v>#3 Univ of Wisconsin Platteville</v>
      </c>
      <c r="C54" s="483"/>
      <c r="D54" s="483"/>
      <c r="E54" s="483"/>
      <c r="F54" s="81"/>
      <c r="G54" s="6"/>
      <c r="H54" s="6"/>
    </row>
    <row r="55" spans="1:15" ht="15">
      <c r="A55" s="121" t="s">
        <v>75</v>
      </c>
      <c r="B55" s="484" t="str">
        <f>A26</f>
        <v>#5 Michigan Tech</v>
      </c>
      <c r="C55" s="484"/>
      <c r="D55" s="484"/>
      <c r="E55" s="484"/>
      <c r="F55" s="81"/>
    </row>
    <row r="56" spans="1:15" ht="15">
      <c r="A56" s="475" t="s">
        <v>137</v>
      </c>
      <c r="B56" s="486" t="str">
        <f>A24</f>
        <v>#3 Univ of Wisconsin Platteville</v>
      </c>
      <c r="C56" s="486"/>
      <c r="D56" s="486"/>
      <c r="E56" s="486"/>
      <c r="F56" s="81"/>
    </row>
    <row r="57" spans="1:15" ht="15">
      <c r="A57" s="476" t="s">
        <v>331</v>
      </c>
      <c r="B57" s="486" t="str">
        <f>A28</f>
        <v>#7 Univ of Idaho</v>
      </c>
      <c r="C57" s="486"/>
      <c r="D57" s="486"/>
      <c r="E57" s="486"/>
      <c r="F57" s="81"/>
    </row>
    <row r="58" spans="1:15" ht="15">
      <c r="A58" s="476" t="s">
        <v>124</v>
      </c>
      <c r="B58" s="486" t="str">
        <f>A28</f>
        <v>#7 Univ of Idaho</v>
      </c>
      <c r="C58" s="486"/>
      <c r="D58" s="486"/>
      <c r="E58" s="486"/>
      <c r="F58" s="81"/>
    </row>
    <row r="59" spans="1:15" ht="15">
      <c r="A59" s="475" t="s">
        <v>123</v>
      </c>
      <c r="B59" s="486" t="str">
        <f>A28</f>
        <v>#7 Univ of Idaho</v>
      </c>
      <c r="C59" s="486"/>
      <c r="D59" s="486"/>
      <c r="E59" s="486"/>
      <c r="F59" s="81"/>
    </row>
    <row r="60" spans="1:15" ht="15">
      <c r="A60" s="476" t="s">
        <v>136</v>
      </c>
      <c r="B60" s="486" t="str">
        <f>A23</f>
        <v>#2 Kettering</v>
      </c>
      <c r="C60" s="486"/>
      <c r="D60" s="486"/>
      <c r="E60" s="486"/>
      <c r="F60" s="81"/>
    </row>
    <row r="61" spans="1:15" ht="15">
      <c r="A61" s="476" t="s">
        <v>159</v>
      </c>
      <c r="B61" s="486" t="str">
        <f>A24</f>
        <v>#3 Univ of Wisconsin Platteville</v>
      </c>
      <c r="C61" s="486"/>
      <c r="D61" s="486"/>
      <c r="E61" s="486"/>
      <c r="F61" s="81"/>
    </row>
    <row r="62" spans="1:15" ht="15">
      <c r="A62" s="477" t="s">
        <v>335</v>
      </c>
      <c r="B62" s="482" t="str">
        <f>A28</f>
        <v>#7 Univ of Idaho</v>
      </c>
      <c r="C62" s="478"/>
      <c r="D62" s="478"/>
      <c r="E62" s="479"/>
      <c r="F62" s="81"/>
    </row>
    <row r="63" spans="1:15" ht="15">
      <c r="A63" s="345"/>
      <c r="B63" s="410"/>
      <c r="C63" s="177"/>
      <c r="D63" s="480"/>
      <c r="E63" s="481"/>
      <c r="F63" s="81"/>
    </row>
    <row r="64" spans="1:15" s="1" customFormat="1" ht="15">
      <c r="A64" s="361"/>
      <c r="B64" s="410"/>
      <c r="C64" s="17"/>
      <c r="D64" s="27"/>
      <c r="E64" s="80"/>
      <c r="F64" s="81"/>
      <c r="J64" s="209"/>
      <c r="K64" s="61"/>
    </row>
    <row r="65" spans="1:11" s="1" customFormat="1">
      <c r="A65" s="210"/>
      <c r="B65" s="411"/>
      <c r="C65" s="412"/>
      <c r="J65" s="209"/>
      <c r="K65" s="61"/>
    </row>
    <row r="66" spans="1:11" s="1" customFormat="1">
      <c r="A66" s="210"/>
      <c r="C66" s="61"/>
      <c r="J66" s="209"/>
      <c r="K66" s="61"/>
    </row>
    <row r="67" spans="1:11" s="1" customFormat="1">
      <c r="A67" s="210"/>
      <c r="C67" s="61"/>
      <c r="J67" s="209"/>
      <c r="K67" s="61"/>
    </row>
    <row r="68" spans="1:11" s="1" customFormat="1">
      <c r="A68" s="210"/>
      <c r="C68" s="61"/>
      <c r="J68" s="209"/>
      <c r="K68" s="61"/>
    </row>
    <row r="69" spans="1:11" s="1" customFormat="1">
      <c r="A69" s="210"/>
      <c r="C69" s="61"/>
      <c r="J69" s="209"/>
      <c r="K69" s="61"/>
    </row>
    <row r="70" spans="1:11" s="1" customFormat="1">
      <c r="A70" s="210"/>
      <c r="C70" s="61"/>
      <c r="J70" s="209"/>
      <c r="K70" s="61"/>
    </row>
    <row r="71" spans="1:11" s="1" customFormat="1">
      <c r="A71" s="210"/>
      <c r="C71" s="61"/>
      <c r="J71" s="209"/>
      <c r="K71" s="61"/>
    </row>
  </sheetData>
  <mergeCells count="20">
    <mergeCell ref="B54:E54"/>
    <mergeCell ref="B55:E55"/>
    <mergeCell ref="B56:E56"/>
    <mergeCell ref="B61:E61"/>
    <mergeCell ref="B57:E57"/>
    <mergeCell ref="B58:E58"/>
    <mergeCell ref="B60:E60"/>
    <mergeCell ref="B59:E59"/>
    <mergeCell ref="B47:E47"/>
    <mergeCell ref="B48:E48"/>
    <mergeCell ref="B53:E53"/>
    <mergeCell ref="B49:E49"/>
    <mergeCell ref="B50:E50"/>
    <mergeCell ref="B52:E52"/>
    <mergeCell ref="B51:E51"/>
    <mergeCell ref="B44:E44"/>
    <mergeCell ref="B45:E45"/>
    <mergeCell ref="B43:E43"/>
    <mergeCell ref="B42:E42"/>
    <mergeCell ref="B46:E46"/>
  </mergeCells>
  <phoneticPr fontId="23" type="noConversion"/>
  <printOptions gridLines="1"/>
  <pageMargins left="0.75" right="0.75" top="1" bottom="1" header="0.5" footer="0.5"/>
  <pageSetup scale="54" orientation="landscape" horizontalDpi="429496729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K98"/>
  <sheetViews>
    <sheetView zoomScale="125" zoomScaleNormal="125" zoomScalePageLayoutView="125" workbookViewId="0"/>
  </sheetViews>
  <sheetFormatPr defaultColWidth="8.85546875" defaultRowHeight="12.75"/>
  <cols>
    <col min="1" max="1" width="40.85546875" customWidth="1"/>
    <col min="2" max="3" width="12.42578125" style="338" customWidth="1"/>
    <col min="4" max="4" width="8.42578125" style="338" customWidth="1"/>
    <col min="5" max="5" width="12.42578125" style="338" customWidth="1"/>
    <col min="6" max="6" width="10.7109375" style="338" customWidth="1"/>
    <col min="7" max="8" width="12.42578125" style="338" customWidth="1"/>
    <col min="9" max="9" width="9.28515625" customWidth="1"/>
    <col min="10" max="10" width="9.28515625" style="402" customWidth="1"/>
    <col min="11" max="11" width="7.140625" customWidth="1"/>
    <col min="13" max="13" width="10" customWidth="1"/>
    <col min="14" max="14" width="8.7109375" style="3" customWidth="1"/>
    <col min="15" max="15" width="10.7109375" style="3" customWidth="1"/>
    <col min="16" max="16" width="8.7109375" style="3" customWidth="1"/>
    <col min="17" max="17" width="3" style="3" customWidth="1"/>
    <col min="18" max="24" width="8.7109375" style="41" customWidth="1"/>
    <col min="25" max="25" width="10" style="41" customWidth="1"/>
    <col min="26" max="27" width="8.7109375" style="41" customWidth="1"/>
    <col min="28" max="28" width="8.7109375" customWidth="1"/>
    <col min="29" max="29" width="2.140625" customWidth="1"/>
    <col min="30" max="30" width="16.28515625" style="3" customWidth="1"/>
    <col min="31" max="31" width="12.7109375" style="3" customWidth="1"/>
    <col min="32" max="35" width="8.7109375" customWidth="1"/>
  </cols>
  <sheetData>
    <row r="1" spans="1:37" ht="19.5" thickBot="1">
      <c r="A1" s="119" t="s">
        <v>230</v>
      </c>
      <c r="B1" s="7"/>
      <c r="C1" s="264"/>
      <c r="D1" s="264"/>
      <c r="E1" s="264"/>
      <c r="F1" s="264"/>
      <c r="G1" s="264"/>
      <c r="H1" s="264"/>
      <c r="I1" s="21"/>
      <c r="J1" s="391" t="s">
        <v>100</v>
      </c>
      <c r="K1" s="221"/>
      <c r="L1" s="221"/>
      <c r="M1" s="21"/>
      <c r="N1" s="220" t="s">
        <v>101</v>
      </c>
      <c r="O1" s="221"/>
      <c r="P1" s="221"/>
      <c r="Q1" s="28"/>
      <c r="R1" s="120"/>
      <c r="S1" s="84"/>
      <c r="T1" s="85"/>
      <c r="U1" s="85"/>
      <c r="V1" s="85"/>
      <c r="W1" s="85"/>
      <c r="X1" s="85"/>
      <c r="Y1" s="85"/>
      <c r="Z1" s="85"/>
      <c r="AA1" s="85"/>
      <c r="AB1" s="86"/>
      <c r="AC1" s="87"/>
      <c r="AD1" s="88"/>
      <c r="AE1" s="61"/>
      <c r="AF1" s="1"/>
      <c r="AG1" s="1"/>
      <c r="AH1" s="1"/>
    </row>
    <row r="2" spans="1:37" ht="19.5" thickBot="1">
      <c r="A2" s="472" t="s">
        <v>236</v>
      </c>
      <c r="B2" s="7"/>
      <c r="C2" s="264"/>
      <c r="D2" s="264"/>
      <c r="E2" s="264"/>
      <c r="F2" s="264"/>
      <c r="G2" s="264"/>
      <c r="H2" s="281"/>
      <c r="I2" s="24"/>
      <c r="J2" s="392" t="s">
        <v>102</v>
      </c>
      <c r="K2" s="222"/>
      <c r="L2" s="223"/>
      <c r="M2" s="21"/>
      <c r="N2" s="224" t="s">
        <v>103</v>
      </c>
      <c r="O2" s="222"/>
      <c r="P2" s="223"/>
      <c r="Q2" s="52"/>
      <c r="R2" s="122"/>
      <c r="S2" s="91"/>
      <c r="T2" s="91"/>
      <c r="U2" s="85"/>
      <c r="V2" s="85"/>
      <c r="W2" s="85"/>
      <c r="X2" s="85"/>
      <c r="Y2" s="85"/>
      <c r="Z2" s="85"/>
      <c r="AA2" s="85"/>
      <c r="AB2" s="86"/>
      <c r="AC2" s="87"/>
      <c r="AD2" s="88"/>
      <c r="AE2" s="61"/>
      <c r="AF2" s="1"/>
      <c r="AG2" s="1"/>
      <c r="AH2" s="1"/>
    </row>
    <row r="3" spans="1:37" ht="15">
      <c r="A3" s="471" t="s">
        <v>334</v>
      </c>
      <c r="B3" s="65"/>
      <c r="C3" s="281"/>
      <c r="D3" s="281"/>
      <c r="E3" s="281"/>
      <c r="F3" s="281"/>
      <c r="G3" s="281"/>
      <c r="J3" s="393"/>
      <c r="K3" s="24"/>
      <c r="L3" s="225"/>
      <c r="M3" s="24"/>
      <c r="N3" s="226"/>
      <c r="O3" s="24"/>
      <c r="P3" s="225"/>
      <c r="Q3" s="23"/>
      <c r="R3" s="123"/>
      <c r="S3" s="93"/>
      <c r="T3" s="91"/>
      <c r="U3" s="85"/>
      <c r="V3" s="85"/>
      <c r="W3" s="85"/>
      <c r="X3" s="85"/>
      <c r="Y3" s="85"/>
      <c r="Z3" s="85"/>
      <c r="AA3" s="85"/>
      <c r="AB3" s="86"/>
      <c r="AC3" s="87"/>
      <c r="AD3" s="88"/>
      <c r="AE3" s="61"/>
      <c r="AF3" s="1"/>
      <c r="AG3" s="1"/>
      <c r="AH3" s="1"/>
    </row>
    <row r="4" spans="1:37" ht="51">
      <c r="A4" s="227" t="s">
        <v>104</v>
      </c>
      <c r="B4" s="229" t="s">
        <v>105</v>
      </c>
      <c r="C4" s="228" t="s">
        <v>106</v>
      </c>
      <c r="D4" s="228" t="s">
        <v>107</v>
      </c>
      <c r="E4" s="228" t="s">
        <v>108</v>
      </c>
      <c r="F4" s="228" t="s">
        <v>109</v>
      </c>
      <c r="G4" s="229" t="s">
        <v>138</v>
      </c>
      <c r="H4" s="228" t="s">
        <v>110</v>
      </c>
      <c r="I4" s="230"/>
      <c r="J4" s="394" t="s">
        <v>111</v>
      </c>
      <c r="K4" s="229" t="s">
        <v>112</v>
      </c>
      <c r="L4" s="232" t="s">
        <v>113</v>
      </c>
      <c r="M4" s="233"/>
      <c r="N4" s="231" t="s">
        <v>114</v>
      </c>
      <c r="O4" s="229" t="s">
        <v>122</v>
      </c>
      <c r="P4" s="232" t="s">
        <v>90</v>
      </c>
      <c r="Q4" s="23"/>
      <c r="R4" s="123"/>
      <c r="S4" s="93"/>
      <c r="T4" s="91"/>
      <c r="U4" s="85"/>
      <c r="V4" s="85"/>
      <c r="W4" s="85"/>
      <c r="X4" s="85"/>
      <c r="Y4" s="85"/>
      <c r="Z4" s="85"/>
      <c r="AA4" s="85"/>
      <c r="AB4" s="86"/>
      <c r="AC4" s="87"/>
      <c r="AD4" s="88"/>
      <c r="AE4" s="61"/>
      <c r="AF4" s="1"/>
      <c r="AG4" s="1"/>
      <c r="AH4" s="1"/>
    </row>
    <row r="5" spans="1:37" ht="15">
      <c r="A5" s="337" t="s">
        <v>156</v>
      </c>
      <c r="B5" s="468" t="s">
        <v>327</v>
      </c>
      <c r="C5" s="468" t="s">
        <v>327</v>
      </c>
      <c r="D5" s="468" t="s">
        <v>327</v>
      </c>
      <c r="E5" s="468" t="s">
        <v>327</v>
      </c>
      <c r="F5" s="468" t="s">
        <v>327</v>
      </c>
      <c r="G5" s="468" t="s">
        <v>327</v>
      </c>
      <c r="H5" s="468" t="s">
        <v>327</v>
      </c>
      <c r="I5" s="466"/>
      <c r="J5" s="395">
        <v>186.87</v>
      </c>
      <c r="K5" s="309">
        <v>224.83</v>
      </c>
      <c r="L5" s="234">
        <f t="shared" ref="L5:L14" si="0">RANK(K5,K$5:K$18)</f>
        <v>5</v>
      </c>
      <c r="M5" s="235"/>
      <c r="N5" s="395">
        <v>435.98</v>
      </c>
      <c r="O5" s="403">
        <f>50*(515.4-N5)/(515.4-268.09)</f>
        <v>16.056770854393264</v>
      </c>
      <c r="P5" s="234">
        <f t="shared" ref="P5:P14" si="1">RANK(O5,O$5:O$18)</f>
        <v>6</v>
      </c>
      <c r="Q5" s="28"/>
      <c r="R5" s="293">
        <f>K5+O5</f>
        <v>240.88677085439326</v>
      </c>
      <c r="S5" s="84"/>
      <c r="T5" s="84"/>
      <c r="U5" s="84"/>
      <c r="V5" s="84"/>
      <c r="W5" s="84"/>
      <c r="X5" s="84"/>
      <c r="Y5" s="84"/>
      <c r="Z5" s="84"/>
      <c r="AA5" s="84"/>
      <c r="AB5" s="83"/>
      <c r="AC5" s="94"/>
      <c r="AD5" s="95"/>
    </row>
    <row r="6" spans="1:37" ht="15">
      <c r="A6" s="337" t="s">
        <v>195</v>
      </c>
      <c r="B6" s="468" t="s">
        <v>327</v>
      </c>
      <c r="C6" s="468" t="s">
        <v>327</v>
      </c>
      <c r="D6" s="468" t="s">
        <v>327</v>
      </c>
      <c r="E6" s="468" t="s">
        <v>327</v>
      </c>
      <c r="F6" s="468" t="s">
        <v>327</v>
      </c>
      <c r="G6" s="468" t="s">
        <v>327</v>
      </c>
      <c r="H6" s="468" t="s">
        <v>327</v>
      </c>
      <c r="I6" s="466"/>
      <c r="J6" s="395">
        <v>205.03</v>
      </c>
      <c r="K6" s="309">
        <v>283.85000000000002</v>
      </c>
      <c r="L6" s="234">
        <f t="shared" si="0"/>
        <v>2</v>
      </c>
      <c r="M6" s="235"/>
      <c r="N6" s="395">
        <v>421</v>
      </c>
      <c r="O6" s="403">
        <f t="shared" ref="O6:O14" si="2">50*(515.4-N6)/(515.4-268.09)</f>
        <v>19.085358456997287</v>
      </c>
      <c r="P6" s="234">
        <f t="shared" si="1"/>
        <v>2</v>
      </c>
      <c r="Q6" s="28"/>
      <c r="R6" s="293">
        <f t="shared" ref="R6:R18" si="3">K6+O6</f>
        <v>302.93535845699733</v>
      </c>
      <c r="S6" s="84"/>
      <c r="T6" s="84"/>
      <c r="U6" s="84"/>
      <c r="V6" s="84"/>
      <c r="W6" s="84"/>
      <c r="X6" s="84"/>
      <c r="Y6" s="84"/>
      <c r="Z6" s="84"/>
      <c r="AA6" s="84"/>
      <c r="AB6" s="83"/>
      <c r="AC6" s="94"/>
      <c r="AD6" s="95"/>
      <c r="AJ6" s="31"/>
      <c r="AK6" s="31"/>
    </row>
    <row r="7" spans="1:37">
      <c r="A7" s="337" t="s">
        <v>207</v>
      </c>
      <c r="B7" s="468" t="s">
        <v>327</v>
      </c>
      <c r="C7" s="468" t="s">
        <v>327</v>
      </c>
      <c r="D7" s="468" t="s">
        <v>327</v>
      </c>
      <c r="E7" s="468" t="s">
        <v>327</v>
      </c>
      <c r="F7" s="468" t="s">
        <v>327</v>
      </c>
      <c r="G7" s="468" t="s">
        <v>327</v>
      </c>
      <c r="H7" s="468" t="s">
        <v>327</v>
      </c>
      <c r="I7" s="338"/>
      <c r="J7" s="338">
        <v>141.56</v>
      </c>
      <c r="K7" s="338">
        <v>141.56</v>
      </c>
      <c r="L7" s="234">
        <f t="shared" si="0"/>
        <v>8</v>
      </c>
      <c r="M7" s="235"/>
      <c r="N7" s="453">
        <v>515.4</v>
      </c>
      <c r="O7" s="403">
        <f t="shared" si="2"/>
        <v>0</v>
      </c>
      <c r="P7" s="234">
        <f t="shared" si="1"/>
        <v>8</v>
      </c>
      <c r="Q7" s="28"/>
      <c r="R7" s="293">
        <f t="shared" si="3"/>
        <v>141.56</v>
      </c>
      <c r="S7" s="84"/>
      <c r="T7" s="84"/>
      <c r="U7" s="84"/>
      <c r="V7" s="84"/>
      <c r="W7" s="84"/>
      <c r="X7" s="84"/>
      <c r="Y7" s="84"/>
      <c r="Z7" s="84"/>
      <c r="AA7" s="84"/>
      <c r="AB7" s="83"/>
      <c r="AC7" s="94"/>
      <c r="AD7" s="95"/>
      <c r="AJ7" s="31"/>
      <c r="AK7" s="31"/>
    </row>
    <row r="8" spans="1:37" s="214" customFormat="1" ht="15">
      <c r="A8" s="343" t="s">
        <v>197</v>
      </c>
      <c r="B8" s="469"/>
      <c r="C8" s="468"/>
      <c r="D8" s="468"/>
      <c r="E8" s="468"/>
      <c r="F8" s="468"/>
      <c r="G8" s="468"/>
      <c r="H8" s="468"/>
      <c r="I8" s="466"/>
      <c r="J8" s="395"/>
      <c r="K8" s="309"/>
      <c r="L8" s="234"/>
      <c r="M8" s="253"/>
      <c r="N8" s="395"/>
      <c r="O8" s="403"/>
      <c r="P8" s="234">
        <f t="shared" si="1"/>
        <v>8</v>
      </c>
      <c r="Q8" s="249"/>
      <c r="R8" s="293">
        <f t="shared" si="3"/>
        <v>0</v>
      </c>
      <c r="S8" s="254"/>
      <c r="T8" s="254"/>
      <c r="U8" s="254"/>
      <c r="V8" s="254"/>
      <c r="W8" s="254"/>
      <c r="X8" s="254"/>
      <c r="Y8" s="254"/>
      <c r="Z8" s="254"/>
      <c r="AA8" s="254"/>
      <c r="AB8" s="219"/>
      <c r="AD8" s="217"/>
      <c r="AE8" s="217"/>
      <c r="AJ8" s="255"/>
      <c r="AK8" s="255"/>
    </row>
    <row r="9" spans="1:37" ht="15">
      <c r="A9" s="337" t="s">
        <v>204</v>
      </c>
      <c r="B9" s="468" t="s">
        <v>327</v>
      </c>
      <c r="C9" s="468" t="s">
        <v>327</v>
      </c>
      <c r="D9" s="468" t="s">
        <v>327</v>
      </c>
      <c r="E9" s="468" t="s">
        <v>327</v>
      </c>
      <c r="F9" s="468" t="s">
        <v>327</v>
      </c>
      <c r="G9" s="468" t="s">
        <v>327</v>
      </c>
      <c r="H9" s="468" t="s">
        <v>327</v>
      </c>
      <c r="I9" s="466"/>
      <c r="J9" s="395">
        <v>174.2</v>
      </c>
      <c r="K9" s="309">
        <v>183.65</v>
      </c>
      <c r="L9" s="234">
        <f t="shared" si="0"/>
        <v>6</v>
      </c>
      <c r="M9" s="253"/>
      <c r="N9" s="395">
        <v>481.42</v>
      </c>
      <c r="O9" s="403">
        <f t="shared" si="2"/>
        <v>6.8699203428894835</v>
      </c>
      <c r="P9" s="234">
        <f t="shared" si="1"/>
        <v>7</v>
      </c>
      <c r="Q9" s="28"/>
      <c r="R9" s="293">
        <f t="shared" si="3"/>
        <v>190.51992034288949</v>
      </c>
      <c r="S9" s="84"/>
      <c r="T9" s="84"/>
      <c r="U9" s="84"/>
      <c r="V9" s="84"/>
      <c r="W9" s="84"/>
      <c r="X9" s="84"/>
      <c r="Y9" s="84"/>
      <c r="Z9" s="84"/>
      <c r="AA9" s="84"/>
      <c r="AB9" s="83"/>
      <c r="AC9" s="94"/>
      <c r="AD9" s="95"/>
      <c r="AJ9" s="31"/>
      <c r="AK9" s="31"/>
    </row>
    <row r="10" spans="1:37" ht="15">
      <c r="A10" s="344" t="s">
        <v>208</v>
      </c>
      <c r="B10" s="468" t="s">
        <v>327</v>
      </c>
      <c r="C10" s="468" t="s">
        <v>327</v>
      </c>
      <c r="D10" s="468" t="s">
        <v>327</v>
      </c>
      <c r="E10" s="468" t="s">
        <v>327</v>
      </c>
      <c r="F10" s="468" t="s">
        <v>327</v>
      </c>
      <c r="G10" s="468" t="s">
        <v>327</v>
      </c>
      <c r="H10" s="468" t="s">
        <v>327</v>
      </c>
      <c r="I10" s="467"/>
      <c r="J10" s="395">
        <v>203.55</v>
      </c>
      <c r="K10" s="309">
        <v>279.04000000000002</v>
      </c>
      <c r="L10" s="234">
        <f t="shared" si="0"/>
        <v>4</v>
      </c>
      <c r="M10" s="235"/>
      <c r="N10" s="395">
        <v>433</v>
      </c>
      <c r="O10" s="403">
        <f t="shared" si="2"/>
        <v>16.659253568395936</v>
      </c>
      <c r="P10" s="234">
        <f t="shared" si="1"/>
        <v>5</v>
      </c>
      <c r="Q10" s="28"/>
      <c r="R10" s="293">
        <f t="shared" si="3"/>
        <v>295.69925356839593</v>
      </c>
      <c r="S10" s="97"/>
      <c r="T10" s="97"/>
      <c r="U10" s="97"/>
      <c r="V10" s="84"/>
      <c r="W10" s="84"/>
      <c r="X10" s="84"/>
      <c r="Y10" s="84"/>
      <c r="Z10" s="84"/>
      <c r="AA10" s="84"/>
      <c r="AB10" s="83"/>
      <c r="AC10" s="94"/>
      <c r="AD10" s="95"/>
      <c r="AJ10" s="31"/>
      <c r="AK10" s="31"/>
    </row>
    <row r="11" spans="1:37" ht="15">
      <c r="A11" s="343" t="s">
        <v>200</v>
      </c>
      <c r="B11" s="468" t="s">
        <v>327</v>
      </c>
      <c r="C11" s="468" t="s">
        <v>327</v>
      </c>
      <c r="D11" s="468" t="s">
        <v>327</v>
      </c>
      <c r="E11" s="468" t="s">
        <v>327</v>
      </c>
      <c r="F11" s="468" t="s">
        <v>327</v>
      </c>
      <c r="G11" s="468" t="s">
        <v>327</v>
      </c>
      <c r="H11" s="468" t="s">
        <v>327</v>
      </c>
      <c r="I11" s="466"/>
      <c r="J11" s="395">
        <v>204.54</v>
      </c>
      <c r="K11" s="309">
        <v>282.26</v>
      </c>
      <c r="L11" s="234">
        <f t="shared" si="0"/>
        <v>3</v>
      </c>
      <c r="M11" s="235"/>
      <c r="N11" s="395">
        <v>421.32</v>
      </c>
      <c r="O11" s="403">
        <f t="shared" si="2"/>
        <v>19.020662326634586</v>
      </c>
      <c r="P11" s="234">
        <f t="shared" si="1"/>
        <v>3</v>
      </c>
      <c r="Q11" s="28"/>
      <c r="R11" s="293">
        <f t="shared" si="3"/>
        <v>301.28066232663457</v>
      </c>
      <c r="S11" s="97"/>
      <c r="T11" s="97"/>
      <c r="U11" s="97"/>
      <c r="V11" s="84"/>
      <c r="W11" s="84"/>
      <c r="X11" s="84"/>
      <c r="Y11" s="84"/>
      <c r="Z11" s="84"/>
      <c r="AA11" s="84"/>
      <c r="AB11" s="83"/>
      <c r="AC11" s="94"/>
      <c r="AD11" s="95"/>
      <c r="AJ11" s="31"/>
      <c r="AK11" s="31"/>
    </row>
    <row r="12" spans="1:37" ht="15">
      <c r="A12" s="344" t="s">
        <v>212</v>
      </c>
      <c r="B12" s="468" t="s">
        <v>327</v>
      </c>
      <c r="C12" s="468" t="s">
        <v>327</v>
      </c>
      <c r="D12" s="468" t="s">
        <v>327</v>
      </c>
      <c r="E12" s="468" t="s">
        <v>327</v>
      </c>
      <c r="F12" s="468" t="s">
        <v>327</v>
      </c>
      <c r="G12" s="468" t="s">
        <v>327</v>
      </c>
      <c r="H12" s="468" t="s">
        <v>327</v>
      </c>
      <c r="I12" s="466"/>
      <c r="J12" s="395">
        <v>164.03</v>
      </c>
      <c r="K12" s="309">
        <v>164.03</v>
      </c>
      <c r="L12" s="234">
        <f t="shared" si="0"/>
        <v>7</v>
      </c>
      <c r="M12" s="235"/>
      <c r="N12" s="395">
        <v>427</v>
      </c>
      <c r="O12" s="403">
        <f t="shared" si="2"/>
        <v>17.872306012696612</v>
      </c>
      <c r="P12" s="234">
        <f t="shared" si="1"/>
        <v>4</v>
      </c>
      <c r="Q12" s="28"/>
      <c r="R12" s="293">
        <f t="shared" si="3"/>
        <v>181.90230601269661</v>
      </c>
      <c r="S12" s="97"/>
      <c r="T12" s="97"/>
      <c r="U12" s="97"/>
      <c r="V12" s="84"/>
      <c r="W12" s="84"/>
      <c r="X12" s="84"/>
      <c r="Y12" s="84"/>
      <c r="Z12" s="84"/>
      <c r="AA12" s="84"/>
      <c r="AB12" s="83"/>
      <c r="AC12" s="94"/>
      <c r="AD12" s="95"/>
      <c r="AJ12" s="31"/>
      <c r="AK12" s="31"/>
    </row>
    <row r="13" spans="1:37" ht="15">
      <c r="A13" s="344" t="s">
        <v>214</v>
      </c>
      <c r="B13" s="468" t="s">
        <v>327</v>
      </c>
      <c r="C13" s="468" t="s">
        <v>326</v>
      </c>
      <c r="D13" s="468" t="s">
        <v>326</v>
      </c>
      <c r="E13" s="468" t="s">
        <v>326</v>
      </c>
      <c r="F13" s="468" t="s">
        <v>327</v>
      </c>
      <c r="G13" s="468" t="s">
        <v>327</v>
      </c>
      <c r="H13" s="468" t="s">
        <v>326</v>
      </c>
      <c r="I13" s="466"/>
      <c r="J13" s="395">
        <v>129.22</v>
      </c>
      <c r="K13" s="309">
        <v>10</v>
      </c>
      <c r="L13" s="234">
        <f t="shared" si="0"/>
        <v>9</v>
      </c>
      <c r="M13" s="235"/>
      <c r="N13" s="395"/>
      <c r="O13" s="403"/>
      <c r="P13" s="234">
        <f t="shared" si="1"/>
        <v>8</v>
      </c>
      <c r="Q13" s="28"/>
      <c r="R13" s="293">
        <f t="shared" si="3"/>
        <v>10</v>
      </c>
      <c r="S13" s="84"/>
      <c r="T13" s="84"/>
      <c r="U13" s="84"/>
      <c r="V13" s="84"/>
      <c r="W13" s="84"/>
      <c r="X13" s="84"/>
      <c r="Y13" s="84"/>
      <c r="Z13" s="84"/>
      <c r="AA13" s="84"/>
      <c r="AB13" s="83"/>
      <c r="AC13" s="94"/>
      <c r="AD13" s="95"/>
      <c r="AJ13" s="31"/>
      <c r="AK13" s="31"/>
    </row>
    <row r="14" spans="1:37" ht="15">
      <c r="A14" s="344" t="s">
        <v>215</v>
      </c>
      <c r="B14" s="468" t="s">
        <v>327</v>
      </c>
      <c r="C14" s="468" t="s">
        <v>327</v>
      </c>
      <c r="D14" s="468" t="s">
        <v>327</v>
      </c>
      <c r="E14" s="468" t="s">
        <v>327</v>
      </c>
      <c r="F14" s="468" t="s">
        <v>327</v>
      </c>
      <c r="G14" s="468" t="s">
        <v>327</v>
      </c>
      <c r="H14" s="468" t="s">
        <v>327</v>
      </c>
      <c r="I14" s="467"/>
      <c r="J14" s="395">
        <v>206.6</v>
      </c>
      <c r="K14" s="309">
        <v>288.95</v>
      </c>
      <c r="L14" s="234">
        <f t="shared" si="0"/>
        <v>1</v>
      </c>
      <c r="M14" s="235"/>
      <c r="N14" s="395">
        <v>268.08999999999997</v>
      </c>
      <c r="O14" s="403">
        <f t="shared" si="2"/>
        <v>50</v>
      </c>
      <c r="P14" s="234">
        <f t="shared" si="1"/>
        <v>1</v>
      </c>
      <c r="Q14" s="28"/>
      <c r="R14" s="293">
        <f t="shared" si="3"/>
        <v>338.95</v>
      </c>
      <c r="S14" s="84"/>
      <c r="T14" s="84"/>
      <c r="U14" s="84"/>
      <c r="V14" s="84"/>
      <c r="W14" s="84"/>
      <c r="X14" s="84"/>
      <c r="Y14" s="84"/>
      <c r="Z14" s="84"/>
      <c r="AA14" s="84"/>
      <c r="AB14" s="83"/>
      <c r="AC14" s="94"/>
      <c r="AD14" s="95"/>
      <c r="AJ14" s="31"/>
      <c r="AK14" s="31"/>
    </row>
    <row r="15" spans="1:37" ht="15">
      <c r="A15" s="438" t="s">
        <v>323</v>
      </c>
      <c r="B15" s="468"/>
      <c r="C15" s="468"/>
      <c r="D15" s="468"/>
      <c r="E15" s="469"/>
      <c r="F15" s="469"/>
      <c r="G15" s="468"/>
      <c r="H15" s="469"/>
      <c r="I15" s="467"/>
      <c r="J15" s="395"/>
      <c r="K15" s="309"/>
      <c r="L15" s="234"/>
      <c r="M15" s="235"/>
      <c r="N15" s="395"/>
      <c r="O15" s="403"/>
      <c r="P15" s="234"/>
      <c r="Q15" s="28"/>
      <c r="R15" s="293">
        <f t="shared" si="3"/>
        <v>0</v>
      </c>
      <c r="S15" s="84"/>
      <c r="T15" s="84"/>
      <c r="U15" s="84"/>
      <c r="V15" s="84"/>
      <c r="W15" s="84"/>
      <c r="X15" s="84"/>
      <c r="Y15" s="84"/>
      <c r="Z15" s="84"/>
      <c r="AA15" s="84"/>
      <c r="AB15" s="83"/>
      <c r="AC15" s="94"/>
      <c r="AD15" s="95"/>
      <c r="AJ15" s="31"/>
      <c r="AK15" s="31"/>
    </row>
    <row r="16" spans="1:37" ht="15">
      <c r="A16" s="344" t="s">
        <v>217</v>
      </c>
      <c r="B16" s="468"/>
      <c r="C16" s="468"/>
      <c r="D16" s="468"/>
      <c r="E16" s="469"/>
      <c r="F16" s="469"/>
      <c r="G16" s="468"/>
      <c r="H16" s="469"/>
      <c r="I16" s="467"/>
      <c r="J16" s="395"/>
      <c r="K16" s="309"/>
      <c r="L16" s="234"/>
      <c r="M16" s="235"/>
      <c r="N16" s="395"/>
      <c r="O16" s="403"/>
      <c r="P16" s="234"/>
      <c r="Q16" s="28"/>
      <c r="R16" s="293">
        <f t="shared" si="3"/>
        <v>0</v>
      </c>
      <c r="S16" s="84"/>
      <c r="T16" s="84"/>
      <c r="U16" s="84"/>
      <c r="V16" s="84"/>
      <c r="W16" s="84"/>
      <c r="X16" s="84"/>
      <c r="Y16" s="84"/>
      <c r="Z16" s="84"/>
      <c r="AA16" s="84"/>
      <c r="AB16" s="83"/>
      <c r="AC16" s="94"/>
      <c r="AD16" s="95"/>
      <c r="AJ16" s="31"/>
      <c r="AK16" s="31"/>
    </row>
    <row r="17" spans="1:37" s="143" customFormat="1" ht="15">
      <c r="A17" s="438" t="s">
        <v>251</v>
      </c>
      <c r="B17" s="468"/>
      <c r="C17" s="468"/>
      <c r="D17" s="468"/>
      <c r="E17" s="468"/>
      <c r="F17" s="468"/>
      <c r="G17" s="468"/>
      <c r="H17" s="468"/>
      <c r="I17" s="467"/>
      <c r="J17" s="395"/>
      <c r="K17" s="309"/>
      <c r="L17" s="234"/>
      <c r="M17" s="235"/>
      <c r="N17" s="395"/>
      <c r="O17" s="403"/>
      <c r="P17" s="234"/>
      <c r="Q17" s="152"/>
      <c r="R17" s="293">
        <f t="shared" si="3"/>
        <v>0</v>
      </c>
      <c r="S17" s="154"/>
      <c r="T17" s="154"/>
      <c r="U17" s="154"/>
      <c r="V17" s="154"/>
      <c r="W17" s="154"/>
      <c r="X17" s="154"/>
      <c r="Y17" s="154"/>
      <c r="Z17" s="154"/>
      <c r="AA17" s="154"/>
      <c r="AB17" s="137"/>
      <c r="AC17" s="146"/>
      <c r="AD17" s="145"/>
      <c r="AE17" s="142"/>
      <c r="AJ17" s="155"/>
      <c r="AK17" s="155"/>
    </row>
    <row r="18" spans="1:37" ht="15">
      <c r="A18" s="438" t="s">
        <v>252</v>
      </c>
      <c r="B18" s="468"/>
      <c r="C18" s="468"/>
      <c r="D18" s="468"/>
      <c r="E18" s="468"/>
      <c r="F18" s="468"/>
      <c r="G18" s="468"/>
      <c r="H18" s="468"/>
      <c r="I18" s="467"/>
      <c r="J18" s="395"/>
      <c r="K18" s="309"/>
      <c r="L18" s="234"/>
      <c r="M18" s="235"/>
      <c r="N18" s="395"/>
      <c r="O18" s="403"/>
      <c r="P18" s="234"/>
      <c r="Q18" s="40"/>
      <c r="R18" s="293">
        <f t="shared" si="3"/>
        <v>0</v>
      </c>
      <c r="S18" s="99"/>
      <c r="T18" s="99"/>
      <c r="U18" s="100"/>
      <c r="V18" s="100"/>
      <c r="W18" s="100"/>
      <c r="X18" s="100"/>
      <c r="Y18" s="100"/>
      <c r="Z18" s="100"/>
      <c r="AA18" s="100"/>
      <c r="AB18" s="101"/>
      <c r="AC18" s="102"/>
      <c r="AD18" s="103"/>
      <c r="AE18" s="48"/>
      <c r="AF18" s="32"/>
      <c r="AG18" s="32"/>
      <c r="AH18" s="32"/>
      <c r="AI18" s="32"/>
      <c r="AJ18" s="31"/>
      <c r="AK18" s="31"/>
    </row>
    <row r="19" spans="1:37">
      <c r="A19" s="89"/>
      <c r="B19" s="281"/>
      <c r="C19" s="134"/>
      <c r="D19" s="266"/>
      <c r="E19" s="266"/>
      <c r="F19" s="266"/>
      <c r="G19" s="266"/>
      <c r="H19" s="383" t="s">
        <v>78</v>
      </c>
      <c r="I19" s="236"/>
      <c r="J19" s="396">
        <f>MIN(J5:J18)</f>
        <v>129.22</v>
      </c>
      <c r="K19" s="237">
        <v>100</v>
      </c>
      <c r="L19" s="238"/>
      <c r="M19" s="239"/>
      <c r="N19" s="396">
        <f>MIN(N5:N18)</f>
        <v>268.08999999999997</v>
      </c>
      <c r="O19" s="239">
        <v>0</v>
      </c>
      <c r="P19" s="98"/>
      <c r="Q19" s="86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13"/>
      <c r="AC19" s="111"/>
      <c r="AD19" s="114"/>
      <c r="AE19" s="48"/>
      <c r="AF19" s="32"/>
      <c r="AG19" s="32"/>
      <c r="AH19" s="32"/>
      <c r="AI19" s="32"/>
      <c r="AJ19" s="31"/>
      <c r="AK19" s="31"/>
    </row>
    <row r="20" spans="1:37">
      <c r="A20" s="89"/>
      <c r="B20" s="281"/>
      <c r="C20" s="266"/>
      <c r="D20" s="266"/>
      <c r="E20" s="266"/>
      <c r="F20" s="266"/>
      <c r="G20" s="266"/>
      <c r="H20" s="384" t="s">
        <v>77</v>
      </c>
      <c r="I20" s="240"/>
      <c r="J20" s="397">
        <f>MAX(J5:J18)</f>
        <v>206.6</v>
      </c>
      <c r="K20" s="241">
        <v>300</v>
      </c>
      <c r="L20" s="242"/>
      <c r="M20" s="242"/>
      <c r="N20" s="397">
        <f>MAX(N5:N18)</f>
        <v>515.4</v>
      </c>
      <c r="O20" s="242">
        <v>50</v>
      </c>
      <c r="P20" s="98"/>
      <c r="Q20" s="96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06"/>
      <c r="AC20" s="112"/>
      <c r="AD20" s="116"/>
      <c r="AE20" s="48"/>
      <c r="AF20" s="32"/>
      <c r="AG20" s="32"/>
      <c r="AH20" s="32"/>
      <c r="AI20" s="32"/>
      <c r="AJ20" s="31"/>
      <c r="AK20" s="31"/>
    </row>
    <row r="21" spans="1:37" ht="15">
      <c r="A21" s="89"/>
      <c r="B21" s="281"/>
      <c r="C21" s="266"/>
      <c r="D21" s="184" t="s">
        <v>46</v>
      </c>
      <c r="E21" s="183" t="s">
        <v>46</v>
      </c>
      <c r="F21" s="266"/>
      <c r="G21" s="266"/>
      <c r="H21" s="266"/>
      <c r="I21" s="98"/>
      <c r="J21" s="98"/>
      <c r="K21" s="98"/>
      <c r="L21" s="98"/>
      <c r="M21" s="98"/>
      <c r="N21" s="98"/>
      <c r="O21" s="98"/>
      <c r="P21" s="98"/>
      <c r="Q21" s="96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06"/>
      <c r="AC21" s="112"/>
      <c r="AD21" s="116"/>
      <c r="AE21" s="48"/>
      <c r="AF21" s="32"/>
      <c r="AG21" s="32"/>
      <c r="AH21" s="32"/>
      <c r="AI21" s="32"/>
      <c r="AJ21" s="31"/>
      <c r="AK21" s="31"/>
    </row>
    <row r="22" spans="1:37" ht="15">
      <c r="B22" s="281"/>
      <c r="C22" s="278"/>
      <c r="D22" s="182"/>
      <c r="E22" s="182"/>
      <c r="F22" s="278"/>
      <c r="G22" s="385" t="s">
        <v>46</v>
      </c>
      <c r="H22" s="278"/>
      <c r="I22" s="90"/>
      <c r="J22" s="266" t="s">
        <v>150</v>
      </c>
      <c r="K22" s="278"/>
      <c r="L22" s="90"/>
      <c r="M22" s="90"/>
      <c r="N22" s="98"/>
      <c r="O22" s="90"/>
      <c r="P22" s="90"/>
      <c r="Q22" s="96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06"/>
      <c r="AC22" s="117"/>
      <c r="AD22" s="116"/>
    </row>
    <row r="23" spans="1:37">
      <c r="B23" s="338" t="s">
        <v>115</v>
      </c>
      <c r="C23" s="266"/>
      <c r="D23" s="266"/>
      <c r="E23" s="386"/>
      <c r="F23" s="266"/>
      <c r="G23" s="266"/>
      <c r="H23" s="266"/>
      <c r="I23" s="98"/>
      <c r="J23" s="266" t="s">
        <v>147</v>
      </c>
      <c r="K23" s="266">
        <f>200/(Emax-Emin)</f>
        <v>2.584647195657793</v>
      </c>
      <c r="L23" s="98"/>
      <c r="M23" s="98"/>
      <c r="N23" s="98"/>
      <c r="O23" s="98"/>
      <c r="P23" s="98"/>
      <c r="Q23" s="96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06"/>
      <c r="AC23" s="117"/>
      <c r="AD23" s="116"/>
    </row>
    <row r="24" spans="1:37">
      <c r="B24" s="338" t="s">
        <v>116</v>
      </c>
      <c r="C24" s="266"/>
      <c r="D24" s="266"/>
      <c r="E24" s="266"/>
      <c r="F24" s="266"/>
      <c r="G24" s="266"/>
      <c r="H24" s="266"/>
      <c r="I24" s="98"/>
      <c r="J24" s="266" t="s">
        <v>148</v>
      </c>
      <c r="K24" s="434">
        <f>K23*Emax</f>
        <v>533.98811062289997</v>
      </c>
      <c r="L24" s="98"/>
      <c r="M24" s="98"/>
      <c r="N24" s="98"/>
      <c r="O24" s="98"/>
      <c r="P24" s="98"/>
      <c r="Q24" s="96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106"/>
      <c r="AC24" s="117"/>
      <c r="AD24" s="116"/>
    </row>
    <row r="25" spans="1:37">
      <c r="B25" s="338" t="s">
        <v>117</v>
      </c>
      <c r="C25" s="278"/>
      <c r="D25" s="278"/>
      <c r="E25" s="278"/>
      <c r="F25" s="278"/>
      <c r="G25" s="278"/>
      <c r="H25" s="278"/>
      <c r="I25" s="90"/>
      <c r="J25" s="98"/>
      <c r="K25" s="90"/>
      <c r="L25" s="90"/>
      <c r="M25" s="90"/>
      <c r="N25" s="98"/>
      <c r="O25" s="90"/>
      <c r="P25" s="90"/>
      <c r="Q25" s="96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06"/>
      <c r="AC25" s="117"/>
      <c r="AD25" s="116"/>
    </row>
    <row r="26" spans="1:37">
      <c r="A26" s="89"/>
      <c r="B26" s="266"/>
      <c r="C26" s="266" t="s">
        <v>85</v>
      </c>
      <c r="D26" s="266"/>
      <c r="E26" s="266"/>
      <c r="F26" s="266"/>
      <c r="G26" s="266"/>
      <c r="H26" s="266"/>
      <c r="I26" s="98"/>
      <c r="J26" s="98"/>
      <c r="K26" s="98"/>
      <c r="L26" s="98"/>
      <c r="M26" s="98"/>
      <c r="N26" s="98"/>
      <c r="O26" s="98"/>
      <c r="P26" s="105"/>
      <c r="Q26" s="96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06"/>
      <c r="AC26" s="117"/>
      <c r="AD26" s="116"/>
    </row>
    <row r="27" spans="1:37">
      <c r="A27" s="89"/>
      <c r="B27" s="278"/>
      <c r="C27" s="278"/>
      <c r="D27" s="278"/>
      <c r="E27" s="278"/>
      <c r="F27" s="278"/>
      <c r="G27" s="278"/>
      <c r="H27" s="278"/>
      <c r="I27" s="90"/>
      <c r="J27" s="98"/>
      <c r="K27" s="90"/>
      <c r="L27" s="90"/>
      <c r="M27" s="90"/>
      <c r="N27" s="90"/>
      <c r="O27" s="90"/>
      <c r="P27" s="105"/>
      <c r="Q27" s="96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106"/>
      <c r="AC27" s="117"/>
      <c r="AD27" s="116"/>
    </row>
    <row r="28" spans="1:37">
      <c r="A28" s="89"/>
      <c r="B28" s="278"/>
      <c r="C28" s="278"/>
      <c r="D28" s="278"/>
      <c r="E28" s="278"/>
      <c r="F28" s="278"/>
      <c r="G28" s="278"/>
      <c r="H28" s="278"/>
      <c r="I28" s="90"/>
      <c r="J28" s="98"/>
      <c r="K28" s="90"/>
      <c r="L28" s="90"/>
      <c r="M28" s="90"/>
      <c r="N28" s="90"/>
      <c r="O28" s="90"/>
      <c r="P28" s="105"/>
      <c r="Q28" s="96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106"/>
      <c r="AC28" s="117"/>
      <c r="AD28" s="116"/>
    </row>
    <row r="29" spans="1:37" ht="15">
      <c r="A29" s="432"/>
      <c r="B29" s="332"/>
      <c r="C29" s="332"/>
      <c r="D29" s="332"/>
      <c r="E29" s="433" t="s">
        <v>183</v>
      </c>
      <c r="F29" s="332"/>
      <c r="G29" s="332"/>
      <c r="H29" s="332"/>
      <c r="I29" s="98"/>
      <c r="J29" s="98"/>
      <c r="K29" s="98"/>
      <c r="L29" s="98"/>
      <c r="M29" s="98"/>
      <c r="N29" s="98"/>
      <c r="O29" s="98"/>
      <c r="P29" s="105"/>
      <c r="Q29" s="96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06"/>
      <c r="AC29" s="117"/>
      <c r="AD29" s="116"/>
    </row>
    <row r="30" spans="1:37">
      <c r="A30" s="89"/>
      <c r="B30" s="266"/>
      <c r="C30" s="266"/>
      <c r="D30" s="266"/>
      <c r="E30" s="266"/>
      <c r="F30" s="266"/>
      <c r="G30" s="266"/>
      <c r="H30" s="266"/>
      <c r="I30" s="98"/>
      <c r="J30" s="98"/>
      <c r="K30" s="98"/>
      <c r="L30" s="98"/>
      <c r="M30" s="98"/>
      <c r="N30" s="98"/>
      <c r="O30" s="98"/>
      <c r="P30" s="105"/>
      <c r="Q30" s="96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06"/>
      <c r="AC30" s="117"/>
      <c r="AD30" s="116"/>
    </row>
    <row r="31" spans="1:37">
      <c r="A31" s="89"/>
      <c r="B31" s="278"/>
      <c r="C31" s="278"/>
      <c r="D31" s="278"/>
      <c r="E31" s="278"/>
      <c r="F31" s="278"/>
      <c r="G31" s="278"/>
      <c r="H31" s="278"/>
      <c r="I31" s="90"/>
      <c r="J31" s="98"/>
      <c r="K31" s="90"/>
      <c r="L31" s="90"/>
      <c r="M31" s="90"/>
      <c r="N31" s="90"/>
      <c r="O31" s="90"/>
      <c r="P31" s="105"/>
      <c r="Q31" s="96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106"/>
      <c r="AC31" s="117"/>
      <c r="AD31" s="116"/>
    </row>
    <row r="32" spans="1:37">
      <c r="A32" s="89"/>
      <c r="B32" s="387"/>
      <c r="C32" s="266"/>
      <c r="D32" s="266"/>
      <c r="E32" s="266"/>
      <c r="F32" s="266"/>
      <c r="G32" s="266"/>
      <c r="H32" s="266"/>
      <c r="I32" s="98"/>
      <c r="J32" s="98"/>
      <c r="K32" s="98"/>
      <c r="L32" s="98"/>
      <c r="M32" s="98"/>
      <c r="N32" s="98"/>
      <c r="O32" s="98"/>
      <c r="P32" s="105"/>
      <c r="Q32" s="96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06"/>
      <c r="AC32" s="117"/>
      <c r="AD32" s="116"/>
    </row>
    <row r="33" spans="1:30">
      <c r="A33" s="89"/>
      <c r="B33" s="266"/>
      <c r="C33" s="266"/>
      <c r="D33" s="266"/>
      <c r="E33" s="266"/>
      <c r="F33" s="388"/>
      <c r="G33" s="266"/>
      <c r="H33" s="266"/>
      <c r="I33" s="98"/>
      <c r="J33" s="98"/>
      <c r="K33" s="98"/>
      <c r="L33" s="98"/>
      <c r="M33" s="98"/>
      <c r="N33" s="98"/>
      <c r="O33" s="98"/>
      <c r="P33" s="106"/>
      <c r="Q33" s="96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06"/>
      <c r="AC33" s="117"/>
      <c r="AD33" s="88"/>
    </row>
    <row r="34" spans="1:30">
      <c r="A34" s="89"/>
      <c r="B34" s="278"/>
      <c r="C34" s="278"/>
      <c r="D34" s="178"/>
      <c r="E34" s="179"/>
      <c r="F34" s="179"/>
      <c r="G34" s="75"/>
      <c r="H34" s="75"/>
      <c r="I34" s="90"/>
      <c r="J34" s="98"/>
      <c r="K34" s="90"/>
      <c r="L34" s="90"/>
      <c r="M34" s="90"/>
      <c r="N34" s="90"/>
      <c r="O34" s="90"/>
      <c r="P34" s="105"/>
      <c r="Q34" s="96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106"/>
      <c r="AC34" s="117"/>
      <c r="AD34" s="116"/>
    </row>
    <row r="35" spans="1:30">
      <c r="A35" s="89"/>
      <c r="B35" s="266"/>
      <c r="C35" s="266"/>
      <c r="D35" s="75"/>
      <c r="E35" s="75"/>
      <c r="F35" s="176"/>
      <c r="G35" s="75"/>
      <c r="H35" s="177"/>
      <c r="I35" s="173"/>
      <c r="J35" s="173"/>
      <c r="K35" s="173"/>
      <c r="L35" s="98"/>
      <c r="M35" s="98"/>
      <c r="N35" s="98"/>
      <c r="O35" s="98"/>
      <c r="P35" s="105"/>
      <c r="Q35" s="96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06"/>
      <c r="AC35" s="117"/>
      <c r="AD35" s="116"/>
    </row>
    <row r="36" spans="1:30">
      <c r="A36" s="83"/>
      <c r="B36" s="266"/>
      <c r="C36" s="278"/>
      <c r="D36" s="75"/>
      <c r="E36" s="75"/>
      <c r="F36" s="179"/>
      <c r="G36" s="75"/>
      <c r="H36" s="75"/>
      <c r="I36" s="90"/>
      <c r="J36" s="98"/>
      <c r="K36" s="90"/>
      <c r="L36" s="90"/>
      <c r="M36" s="90"/>
      <c r="N36" s="90"/>
      <c r="O36" s="90"/>
      <c r="P36" s="105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106"/>
      <c r="AC36" s="117"/>
      <c r="AD36" s="116"/>
    </row>
    <row r="37" spans="1:30">
      <c r="A37" s="83"/>
      <c r="B37" s="278"/>
      <c r="C37" s="278"/>
      <c r="D37" s="278"/>
      <c r="E37" s="278"/>
      <c r="F37" s="278"/>
      <c r="G37" s="278"/>
      <c r="H37" s="278"/>
      <c r="I37" s="90"/>
      <c r="J37" s="98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117"/>
      <c r="AD37" s="88"/>
    </row>
    <row r="38" spans="1:30">
      <c r="A38" s="83"/>
      <c r="B38" s="278"/>
      <c r="C38" s="278"/>
      <c r="D38" s="278"/>
      <c r="E38" s="278"/>
      <c r="F38" s="278"/>
      <c r="G38" s="278"/>
      <c r="H38" s="278"/>
      <c r="I38" s="90"/>
      <c r="J38" s="98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117"/>
      <c r="AD38" s="88"/>
    </row>
    <row r="39" spans="1:30">
      <c r="A39" s="108"/>
      <c r="B39" s="56"/>
      <c r="C39" s="56"/>
      <c r="D39" s="56"/>
      <c r="E39" s="56"/>
      <c r="F39" s="56"/>
      <c r="G39" s="56"/>
      <c r="H39" s="56"/>
      <c r="I39" s="92"/>
      <c r="J39" s="105"/>
      <c r="K39" s="92"/>
      <c r="L39" s="92"/>
      <c r="M39" s="92"/>
      <c r="N39" s="92"/>
      <c r="O39" s="92"/>
      <c r="P39" s="92"/>
      <c r="Q39" s="90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117"/>
      <c r="AD39" s="88"/>
    </row>
    <row r="40" spans="1:30">
      <c r="A40" s="89"/>
      <c r="B40" s="278"/>
      <c r="C40" s="278"/>
      <c r="D40" s="278"/>
      <c r="E40" s="278"/>
      <c r="F40" s="278"/>
      <c r="G40" s="278"/>
      <c r="H40" s="278"/>
      <c r="I40" s="90"/>
      <c r="J40" s="98"/>
      <c r="K40" s="90"/>
      <c r="L40" s="90"/>
      <c r="M40" s="90"/>
      <c r="N40" s="90"/>
      <c r="O40" s="90"/>
      <c r="P40" s="105"/>
      <c r="Q40" s="96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106"/>
      <c r="AC40" s="117"/>
      <c r="AD40" s="116"/>
    </row>
    <row r="41" spans="1:30">
      <c r="A41" s="89"/>
      <c r="B41" s="278"/>
      <c r="C41" s="278"/>
      <c r="D41" s="278"/>
      <c r="E41" s="278"/>
      <c r="F41" s="278"/>
      <c r="G41" s="278"/>
      <c r="H41" s="278"/>
      <c r="I41" s="90"/>
      <c r="J41" s="98"/>
      <c r="K41" s="90"/>
      <c r="L41" s="90"/>
      <c r="M41" s="90"/>
      <c r="N41" s="90"/>
      <c r="O41" s="90"/>
      <c r="P41" s="105"/>
      <c r="Q41" s="96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106"/>
      <c r="AC41" s="117"/>
      <c r="AD41" s="116"/>
    </row>
    <row r="42" spans="1:30">
      <c r="A42" s="89"/>
      <c r="B42" s="278"/>
      <c r="C42" s="278"/>
      <c r="D42" s="278"/>
      <c r="E42" s="278"/>
      <c r="F42" s="278"/>
      <c r="G42" s="278"/>
      <c r="H42" s="278"/>
      <c r="I42" s="90"/>
      <c r="J42" s="98"/>
      <c r="K42" s="90"/>
      <c r="L42" s="90"/>
      <c r="M42" s="90"/>
      <c r="N42" s="90"/>
      <c r="O42" s="90"/>
      <c r="P42" s="105"/>
      <c r="Q42" s="96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106"/>
      <c r="AC42" s="117"/>
      <c r="AD42" s="116"/>
    </row>
    <row r="43" spans="1:30">
      <c r="A43" s="89"/>
      <c r="B43" s="278"/>
      <c r="C43" s="278"/>
      <c r="D43" s="278"/>
      <c r="E43" s="278"/>
      <c r="F43" s="278"/>
      <c r="G43" s="278"/>
      <c r="H43" s="278"/>
      <c r="I43" s="90"/>
      <c r="J43" s="98"/>
      <c r="K43" s="90"/>
      <c r="L43" s="90"/>
      <c r="M43" s="90"/>
      <c r="N43" s="90"/>
      <c r="O43" s="90"/>
      <c r="P43" s="105"/>
      <c r="Q43" s="96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106"/>
      <c r="AC43" s="117"/>
      <c r="AD43" s="116"/>
    </row>
    <row r="44" spans="1:30">
      <c r="A44" s="89"/>
      <c r="B44" s="278"/>
      <c r="C44" s="278"/>
      <c r="D44" s="278"/>
      <c r="E44" s="278"/>
      <c r="F44" s="278"/>
      <c r="G44" s="278"/>
      <c r="H44" s="278"/>
      <c r="I44" s="90"/>
      <c r="J44" s="98"/>
      <c r="K44" s="90"/>
      <c r="L44" s="90"/>
      <c r="M44" s="90"/>
      <c r="N44" s="90"/>
      <c r="O44" s="90"/>
      <c r="P44" s="105"/>
      <c r="Q44" s="96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106"/>
      <c r="AC44" s="117"/>
      <c r="AD44" s="116"/>
    </row>
    <row r="45" spans="1:30">
      <c r="A45" s="89"/>
      <c r="B45" s="278"/>
      <c r="C45" s="278"/>
      <c r="D45" s="278"/>
      <c r="E45" s="278"/>
      <c r="F45" s="278"/>
      <c r="G45" s="278"/>
      <c r="H45" s="278"/>
      <c r="I45" s="90"/>
      <c r="J45" s="98"/>
      <c r="K45" s="90"/>
      <c r="L45" s="90"/>
      <c r="M45" s="90"/>
      <c r="N45" s="90"/>
      <c r="O45" s="90"/>
      <c r="P45" s="105"/>
      <c r="Q45" s="96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106"/>
      <c r="AC45" s="117"/>
      <c r="AD45" s="116"/>
    </row>
    <row r="46" spans="1:30">
      <c r="A46" s="89"/>
      <c r="B46" s="278"/>
      <c r="C46" s="278"/>
      <c r="D46" s="278"/>
      <c r="E46" s="278"/>
      <c r="F46" s="278"/>
      <c r="G46" s="278"/>
      <c r="H46" s="278"/>
      <c r="I46" s="90"/>
      <c r="J46" s="98"/>
      <c r="K46" s="90"/>
      <c r="L46" s="90"/>
      <c r="M46" s="90"/>
      <c r="N46" s="90"/>
      <c r="O46" s="90"/>
      <c r="P46" s="105"/>
      <c r="Q46" s="96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106"/>
      <c r="AC46" s="117"/>
      <c r="AD46" s="116"/>
    </row>
    <row r="47" spans="1:30">
      <c r="A47" s="89"/>
      <c r="B47" s="278"/>
      <c r="C47" s="278"/>
      <c r="D47" s="278"/>
      <c r="E47" s="278"/>
      <c r="F47" s="278"/>
      <c r="G47" s="278"/>
      <c r="H47" s="278"/>
      <c r="I47" s="90"/>
      <c r="J47" s="98"/>
      <c r="K47" s="90"/>
      <c r="L47" s="90"/>
      <c r="M47" s="90"/>
      <c r="N47" s="90"/>
      <c r="O47" s="90"/>
      <c r="P47" s="105"/>
      <c r="Q47" s="96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106"/>
      <c r="AC47" s="117"/>
      <c r="AD47" s="116"/>
    </row>
    <row r="48" spans="1:30">
      <c r="A48" s="89"/>
      <c r="B48" s="278"/>
      <c r="C48" s="278"/>
      <c r="D48" s="278"/>
      <c r="E48" s="278"/>
      <c r="F48" s="278"/>
      <c r="G48" s="278"/>
      <c r="H48" s="278"/>
      <c r="I48" s="90"/>
      <c r="J48" s="98"/>
      <c r="K48" s="90"/>
      <c r="L48" s="90"/>
      <c r="M48" s="90"/>
      <c r="N48" s="90"/>
      <c r="O48" s="90"/>
      <c r="P48" s="105"/>
      <c r="Q48" s="96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106"/>
      <c r="AC48" s="117"/>
      <c r="AD48" s="116"/>
    </row>
    <row r="49" spans="1:30">
      <c r="A49" s="89"/>
      <c r="B49" s="278"/>
      <c r="C49" s="278"/>
      <c r="D49" s="278"/>
      <c r="E49" s="278"/>
      <c r="F49" s="278"/>
      <c r="G49" s="278"/>
      <c r="H49" s="278"/>
      <c r="I49" s="90"/>
      <c r="J49" s="98"/>
      <c r="K49" s="90"/>
      <c r="L49" s="90"/>
      <c r="M49" s="90"/>
      <c r="N49" s="90"/>
      <c r="O49" s="90"/>
      <c r="P49" s="105"/>
      <c r="Q49" s="96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106"/>
      <c r="AC49" s="117"/>
      <c r="AD49" s="116"/>
    </row>
    <row r="50" spans="1:30">
      <c r="A50" s="89"/>
      <c r="B50" s="278"/>
      <c r="C50" s="278"/>
      <c r="D50" s="278"/>
      <c r="E50" s="278"/>
      <c r="F50" s="278"/>
      <c r="G50" s="278"/>
      <c r="H50" s="278"/>
      <c r="I50" s="90"/>
      <c r="J50" s="98"/>
      <c r="K50" s="90"/>
      <c r="L50" s="90"/>
      <c r="M50" s="90"/>
      <c r="N50" s="90"/>
      <c r="O50" s="90"/>
      <c r="P50" s="105"/>
      <c r="Q50" s="96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106"/>
      <c r="AC50" s="117"/>
      <c r="AD50" s="116"/>
    </row>
    <row r="51" spans="1:30">
      <c r="A51" s="89"/>
      <c r="B51" s="278"/>
      <c r="C51" s="278"/>
      <c r="D51" s="278"/>
      <c r="E51" s="278"/>
      <c r="F51" s="278"/>
      <c r="G51" s="278"/>
      <c r="H51" s="278"/>
      <c r="I51" s="90"/>
      <c r="J51" s="98"/>
      <c r="K51" s="90"/>
      <c r="L51" s="90"/>
      <c r="M51" s="90"/>
      <c r="N51" s="90"/>
      <c r="O51" s="90"/>
      <c r="P51" s="105"/>
      <c r="Q51" s="96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106"/>
      <c r="AC51" s="117"/>
      <c r="AD51" s="116"/>
    </row>
    <row r="52" spans="1:30">
      <c r="A52" s="89"/>
      <c r="B52" s="278"/>
      <c r="C52" s="278"/>
      <c r="D52" s="278"/>
      <c r="E52" s="278"/>
      <c r="F52" s="278"/>
      <c r="G52" s="278"/>
      <c r="H52" s="278"/>
      <c r="I52" s="90"/>
      <c r="J52" s="98"/>
      <c r="K52" s="90"/>
      <c r="L52" s="90"/>
      <c r="M52" s="90"/>
      <c r="N52" s="90"/>
      <c r="O52" s="90"/>
      <c r="P52" s="105"/>
      <c r="Q52" s="96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106"/>
      <c r="AC52" s="117"/>
      <c r="AD52" s="116"/>
    </row>
    <row r="53" spans="1:30">
      <c r="A53" s="89"/>
      <c r="B53" s="266"/>
      <c r="C53" s="266"/>
      <c r="D53" s="266"/>
      <c r="E53" s="266"/>
      <c r="F53" s="266"/>
      <c r="G53" s="266"/>
      <c r="H53" s="266"/>
      <c r="I53" s="98"/>
      <c r="J53" s="98"/>
      <c r="K53" s="98"/>
      <c r="L53" s="98"/>
      <c r="M53" s="98"/>
      <c r="N53" s="98"/>
      <c r="O53" s="98"/>
      <c r="P53" s="106"/>
      <c r="Q53" s="96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106"/>
      <c r="AC53" s="117"/>
      <c r="AD53" s="88"/>
    </row>
    <row r="54" spans="1:30">
      <c r="A54" s="89"/>
      <c r="B54" s="278"/>
      <c r="C54" s="278"/>
      <c r="D54" s="278"/>
      <c r="E54" s="278"/>
      <c r="F54" s="278"/>
      <c r="G54" s="278"/>
      <c r="H54" s="278"/>
      <c r="I54" s="90"/>
      <c r="J54" s="98"/>
      <c r="K54" s="90"/>
      <c r="L54" s="90"/>
      <c r="M54" s="90"/>
      <c r="N54" s="90"/>
      <c r="O54" s="90"/>
      <c r="P54" s="105"/>
      <c r="Q54" s="96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106"/>
      <c r="AC54" s="117"/>
      <c r="AD54" s="116"/>
    </row>
    <row r="55" spans="1:30">
      <c r="A55" s="89"/>
      <c r="B55" s="278"/>
      <c r="C55" s="278"/>
      <c r="D55" s="278"/>
      <c r="E55" s="278"/>
      <c r="F55" s="278"/>
      <c r="G55" s="278"/>
      <c r="H55" s="278"/>
      <c r="I55" s="90"/>
      <c r="J55" s="98"/>
      <c r="K55" s="90"/>
      <c r="L55" s="90"/>
      <c r="M55" s="90"/>
      <c r="N55" s="90"/>
      <c r="O55" s="90"/>
      <c r="P55" s="105"/>
      <c r="Q55" s="96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106"/>
      <c r="AC55" s="117"/>
      <c r="AD55" s="116"/>
    </row>
    <row r="56" spans="1:30">
      <c r="A56" s="94"/>
      <c r="B56" s="389"/>
      <c r="C56" s="389"/>
      <c r="D56" s="389"/>
      <c r="E56" s="389"/>
      <c r="F56" s="389"/>
      <c r="G56" s="389"/>
      <c r="H56" s="389"/>
      <c r="I56" s="117"/>
      <c r="J56" s="398"/>
      <c r="K56" s="117"/>
      <c r="L56" s="117"/>
      <c r="M56" s="117"/>
      <c r="N56" s="117"/>
      <c r="O56" s="117"/>
      <c r="P56" s="109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0"/>
      <c r="AC56" s="117"/>
      <c r="AD56" s="88"/>
    </row>
    <row r="57" spans="1:30">
      <c r="A57" s="94"/>
      <c r="B57" s="389"/>
      <c r="C57" s="389"/>
      <c r="D57" s="389"/>
      <c r="E57" s="389"/>
      <c r="F57" s="389"/>
      <c r="G57" s="389"/>
      <c r="H57" s="389"/>
      <c r="I57" s="117"/>
      <c r="J57" s="398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88"/>
    </row>
    <row r="58" spans="1:30">
      <c r="A58" s="94"/>
      <c r="B58" s="390"/>
      <c r="C58" s="390"/>
      <c r="D58" s="390"/>
      <c r="E58" s="390"/>
      <c r="F58" s="390"/>
      <c r="G58" s="390"/>
      <c r="H58" s="390"/>
      <c r="I58" s="88"/>
      <c r="J58" s="399"/>
      <c r="K58" s="88"/>
      <c r="L58" s="88"/>
      <c r="M58" s="88"/>
      <c r="N58" s="88"/>
      <c r="O58" s="88"/>
      <c r="P58" s="117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</row>
    <row r="59" spans="1:30">
      <c r="A59" s="94"/>
      <c r="B59" s="339"/>
      <c r="C59" s="339"/>
      <c r="D59" s="339"/>
      <c r="E59" s="339"/>
      <c r="F59" s="339"/>
      <c r="G59" s="339"/>
      <c r="H59" s="339"/>
      <c r="I59" s="95"/>
      <c r="J59" s="400"/>
      <c r="K59" s="95"/>
      <c r="L59" s="95"/>
      <c r="M59" s="95"/>
      <c r="N59" s="95"/>
      <c r="O59" s="95"/>
      <c r="P59" s="107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</row>
    <row r="60" spans="1:30">
      <c r="A60" s="94"/>
      <c r="B60" s="339"/>
      <c r="C60" s="339"/>
      <c r="D60" s="339"/>
      <c r="E60" s="339"/>
      <c r="F60" s="339"/>
      <c r="G60" s="339"/>
      <c r="H60" s="339"/>
      <c r="I60" s="95"/>
      <c r="J60" s="400"/>
      <c r="K60" s="95"/>
      <c r="L60" s="95"/>
      <c r="M60" s="95"/>
      <c r="N60" s="95"/>
      <c r="O60" s="95"/>
      <c r="P60" s="107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</row>
    <row r="61" spans="1:30">
      <c r="A61" s="94"/>
      <c r="B61" s="339"/>
      <c r="C61" s="339"/>
      <c r="D61" s="339"/>
      <c r="E61" s="339"/>
      <c r="F61" s="339"/>
      <c r="G61" s="339"/>
      <c r="H61" s="339"/>
      <c r="I61" s="95"/>
      <c r="J61" s="400"/>
      <c r="K61" s="95"/>
      <c r="L61" s="95"/>
      <c r="M61" s="95"/>
      <c r="N61" s="95"/>
      <c r="O61" s="95"/>
      <c r="P61" s="107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</row>
    <row r="62" spans="1:30">
      <c r="A62" s="94"/>
      <c r="B62" s="339"/>
      <c r="C62" s="339"/>
      <c r="D62" s="339"/>
      <c r="E62" s="339"/>
      <c r="F62" s="339"/>
      <c r="G62" s="339"/>
      <c r="H62" s="339"/>
      <c r="I62" s="95"/>
      <c r="J62" s="400"/>
      <c r="K62" s="95"/>
      <c r="L62" s="95"/>
      <c r="M62" s="95"/>
      <c r="N62" s="95"/>
      <c r="O62" s="95"/>
      <c r="P62" s="107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</row>
    <row r="63" spans="1:30">
      <c r="A63" s="94"/>
      <c r="I63" s="94"/>
      <c r="J63" s="401"/>
      <c r="K63" s="94"/>
      <c r="L63" s="94"/>
      <c r="M63" s="94"/>
      <c r="N63" s="95"/>
      <c r="O63" s="95"/>
      <c r="P63" s="107"/>
      <c r="Q63" s="95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4"/>
      <c r="AC63" s="94"/>
      <c r="AD63" s="95"/>
    </row>
    <row r="64" spans="1:30">
      <c r="A64" s="94"/>
      <c r="I64" s="94"/>
      <c r="J64" s="401"/>
      <c r="K64" s="94"/>
      <c r="L64" s="94"/>
      <c r="M64" s="94"/>
      <c r="N64" s="95"/>
      <c r="O64" s="95"/>
      <c r="P64" s="107"/>
      <c r="Q64" s="95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4"/>
      <c r="AC64" s="94"/>
      <c r="AD64" s="95"/>
    </row>
    <row r="65" spans="16:16">
      <c r="P65" s="42"/>
    </row>
    <row r="66" spans="16:16">
      <c r="P66" s="42"/>
    </row>
    <row r="67" spans="16:16">
      <c r="P67" s="42"/>
    </row>
    <row r="68" spans="16:16">
      <c r="P68" s="42"/>
    </row>
    <row r="69" spans="16:16">
      <c r="P69" s="42"/>
    </row>
    <row r="70" spans="16:16">
      <c r="P70" s="42"/>
    </row>
    <row r="71" spans="16:16">
      <c r="P71" s="42"/>
    </row>
    <row r="72" spans="16:16">
      <c r="P72" s="42"/>
    </row>
    <row r="73" spans="16:16">
      <c r="P73" s="42"/>
    </row>
    <row r="74" spans="16:16">
      <c r="P74" s="42"/>
    </row>
    <row r="75" spans="16:16">
      <c r="P75" s="42"/>
    </row>
    <row r="76" spans="16:16">
      <c r="P76" s="42"/>
    </row>
    <row r="77" spans="16:16">
      <c r="P77" s="42"/>
    </row>
    <row r="78" spans="16:16">
      <c r="P78" s="42"/>
    </row>
    <row r="79" spans="16:16">
      <c r="P79" s="42"/>
    </row>
    <row r="80" spans="16:16">
      <c r="P80" s="42"/>
    </row>
    <row r="81" spans="16:16">
      <c r="P81" s="42"/>
    </row>
    <row r="82" spans="16:16">
      <c r="P82" s="42"/>
    </row>
    <row r="83" spans="16:16">
      <c r="P83" s="42"/>
    </row>
    <row r="84" spans="16:16">
      <c r="P84" s="42"/>
    </row>
    <row r="85" spans="16:16">
      <c r="P85" s="42"/>
    </row>
    <row r="86" spans="16:16">
      <c r="P86" s="42"/>
    </row>
    <row r="87" spans="16:16">
      <c r="P87" s="42"/>
    </row>
    <row r="88" spans="16:16">
      <c r="P88" s="42"/>
    </row>
    <row r="89" spans="16:16">
      <c r="P89" s="42"/>
    </row>
    <row r="90" spans="16:16">
      <c r="P90" s="42"/>
    </row>
    <row r="91" spans="16:16">
      <c r="P91" s="42"/>
    </row>
    <row r="92" spans="16:16">
      <c r="P92" s="42"/>
    </row>
    <row r="93" spans="16:16">
      <c r="P93" s="42"/>
    </row>
    <row r="94" spans="16:16">
      <c r="P94" s="42"/>
    </row>
    <row r="95" spans="16:16">
      <c r="P95" s="42"/>
    </row>
    <row r="96" spans="16:16">
      <c r="P96" s="42"/>
    </row>
    <row r="97" spans="16:16">
      <c r="P97" s="42"/>
    </row>
    <row r="98" spans="16:16">
      <c r="P98" s="42"/>
    </row>
  </sheetData>
  <phoneticPr fontId="23" type="noConversion"/>
  <conditionalFormatting sqref="B14:B18 B5:B12 C5:H18 B7:H7">
    <cfRule type="cellIs" dxfId="9" priority="9" stopIfTrue="1" operator="equal">
      <formula>"PASS"</formula>
    </cfRule>
    <cfRule type="cellIs" dxfId="8" priority="10" stopIfTrue="1" operator="equal">
      <formula>"FAIL"</formula>
    </cfRule>
  </conditionalFormatting>
  <conditionalFormatting sqref="B13">
    <cfRule type="cellIs" dxfId="7" priority="7" stopIfTrue="1" operator="equal">
      <formula>"PASS"</formula>
    </cfRule>
    <cfRule type="cellIs" dxfId="6" priority="8" stopIfTrue="1" operator="equal">
      <formula>"FAIL"</formula>
    </cfRule>
  </conditionalFormatting>
  <conditionalFormatting sqref="I7">
    <cfRule type="cellIs" dxfId="5" priority="5" stopIfTrue="1" operator="equal">
      <formula>"PASS"</formula>
    </cfRule>
    <cfRule type="cellIs" dxfId="4" priority="6" stopIfTrue="1" operator="equal">
      <formula>"FAIL"</formula>
    </cfRule>
  </conditionalFormatting>
  <conditionalFormatting sqref="J7">
    <cfRule type="cellIs" dxfId="3" priority="3" stopIfTrue="1" operator="equal">
      <formula>"PASS"</formula>
    </cfRule>
    <cfRule type="cellIs" dxfId="2" priority="4" stopIfTrue="1" operator="equal">
      <formula>"FAIL"</formula>
    </cfRule>
  </conditionalFormatting>
  <conditionalFormatting sqref="K7">
    <cfRule type="cellIs" dxfId="1" priority="1" stopIfTrue="1" operator="equal">
      <formula>"PASS"</formula>
    </cfRule>
    <cfRule type="cellIs" dxfId="0" priority="2" stopIfTrue="1" operator="equal">
      <formula>"FAIL"</formula>
    </cfRule>
  </conditionalFormatting>
  <printOptions gridLines="1"/>
  <pageMargins left="0.25" right="0.25" top="1" bottom="1" header="0.5" footer="0.5"/>
  <pageSetup scale="66"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I98"/>
  <sheetViews>
    <sheetView zoomScale="125" zoomScaleNormal="125" zoomScalePageLayoutView="125" workbookViewId="0"/>
  </sheetViews>
  <sheetFormatPr defaultColWidth="8.85546875" defaultRowHeight="12.75"/>
  <cols>
    <col min="1" max="1" width="40.85546875" customWidth="1"/>
    <col min="2" max="2" width="12.7109375" customWidth="1"/>
    <col min="3" max="3" width="12.42578125" customWidth="1"/>
    <col min="4" max="4" width="8.42578125" customWidth="1"/>
    <col min="5" max="5" width="13.42578125" customWidth="1"/>
    <col min="6" max="6" width="15.42578125" customWidth="1"/>
    <col min="7" max="8" width="9.28515625" customWidth="1"/>
    <col min="9" max="9" width="9.140625" customWidth="1"/>
    <col min="11" max="11" width="10" style="303" customWidth="1"/>
    <col min="12" max="12" width="8.7109375" style="3" customWidth="1"/>
    <col min="13" max="13" width="10.7109375" style="3" customWidth="1"/>
    <col min="14" max="14" width="8.7109375" style="3" customWidth="1"/>
    <col min="15" max="15" width="3" style="3" customWidth="1"/>
    <col min="16" max="22" width="8.7109375" style="41" customWidth="1"/>
    <col min="23" max="23" width="10" style="41" customWidth="1"/>
    <col min="24" max="25" width="8.7109375" style="41" customWidth="1"/>
    <col min="26" max="26" width="8.7109375" customWidth="1"/>
    <col min="27" max="27" width="2.140625" customWidth="1"/>
    <col min="28" max="28" width="16.28515625" style="3" customWidth="1"/>
    <col min="29" max="29" width="12.7109375" style="3" customWidth="1"/>
    <col min="30" max="33" width="8.7109375" customWidth="1"/>
  </cols>
  <sheetData>
    <row r="1" spans="1:35" ht="18.75">
      <c r="A1" s="119" t="s">
        <v>231</v>
      </c>
      <c r="B1" s="21"/>
      <c r="C1" s="21"/>
      <c r="D1" s="21"/>
      <c r="E1" s="21" t="s">
        <v>118</v>
      </c>
      <c r="F1" s="208">
        <f>MIN(B6:B19)</f>
        <v>10.52</v>
      </c>
      <c r="G1" s="21"/>
      <c r="H1" s="21" t="s">
        <v>120</v>
      </c>
      <c r="I1" s="21"/>
      <c r="J1" s="316">
        <f>MIN(H6:H19)</f>
        <v>7.8446718844069832</v>
      </c>
      <c r="K1" s="294"/>
      <c r="L1" s="28"/>
      <c r="M1" s="28"/>
      <c r="N1" s="28"/>
      <c r="O1" s="28"/>
      <c r="P1" s="120"/>
      <c r="Q1" s="84"/>
      <c r="R1" s="85"/>
      <c r="S1" s="85"/>
      <c r="T1" s="85"/>
      <c r="U1" s="85"/>
      <c r="V1" s="85"/>
      <c r="W1" s="85"/>
      <c r="X1" s="85"/>
      <c r="Y1" s="85"/>
      <c r="Z1" s="86"/>
      <c r="AA1" s="87"/>
      <c r="AB1" s="88"/>
      <c r="AC1" s="61"/>
      <c r="AD1" s="1"/>
      <c r="AE1" s="1"/>
      <c r="AF1" s="1"/>
    </row>
    <row r="2" spans="1:35">
      <c r="A2" s="79"/>
      <c r="B2" s="24"/>
      <c r="C2" s="24"/>
      <c r="D2" s="24"/>
      <c r="E2" s="24" t="s">
        <v>119</v>
      </c>
      <c r="F2" s="208">
        <f>MAX(B6:B19)</f>
        <v>312.93</v>
      </c>
      <c r="G2" s="24"/>
      <c r="H2" s="24" t="s">
        <v>121</v>
      </c>
      <c r="I2" s="24"/>
      <c r="J2" s="315">
        <f>MAX(H6:H19)</f>
        <v>15.679903730445247</v>
      </c>
      <c r="K2" s="295"/>
      <c r="L2" s="121"/>
      <c r="M2" s="52"/>
      <c r="N2" s="52"/>
      <c r="O2" s="52"/>
      <c r="P2" s="122"/>
      <c r="Q2" s="91"/>
      <c r="R2" s="91"/>
      <c r="S2" s="85"/>
      <c r="T2" s="85"/>
      <c r="U2" s="85"/>
      <c r="V2" s="85"/>
      <c r="W2" s="85"/>
      <c r="X2" s="85"/>
      <c r="Y2" s="85"/>
      <c r="Z2" s="86"/>
      <c r="AA2" s="87"/>
      <c r="AB2" s="88"/>
      <c r="AC2" s="61"/>
      <c r="AD2" s="1"/>
      <c r="AE2" s="1"/>
      <c r="AF2" s="1"/>
    </row>
    <row r="3" spans="1:35">
      <c r="A3" s="359"/>
      <c r="B3" s="16" t="s">
        <v>94</v>
      </c>
      <c r="C3" s="23"/>
      <c r="D3" s="23"/>
      <c r="E3" s="23"/>
      <c r="F3" s="23"/>
      <c r="G3" s="23"/>
      <c r="H3" s="23"/>
      <c r="I3" s="23"/>
      <c r="J3" s="16"/>
      <c r="K3" s="296"/>
      <c r="L3" s="28"/>
      <c r="M3" s="23"/>
      <c r="N3" s="23"/>
      <c r="O3" s="23"/>
      <c r="P3" s="123"/>
      <c r="Q3" s="93"/>
      <c r="R3" s="91"/>
      <c r="S3" s="85"/>
      <c r="T3" s="85"/>
      <c r="U3" s="85"/>
      <c r="V3" s="85"/>
      <c r="W3" s="85"/>
      <c r="X3" s="85"/>
      <c r="Y3" s="85"/>
      <c r="Z3" s="86"/>
      <c r="AA3" s="87"/>
      <c r="AB3" s="88"/>
      <c r="AC3" s="61"/>
      <c r="AD3" s="1"/>
      <c r="AE3" s="1"/>
      <c r="AF3" s="1"/>
    </row>
    <row r="4" spans="1:35">
      <c r="A4" s="16"/>
      <c r="B4" s="16"/>
      <c r="C4" s="23"/>
      <c r="D4" s="23"/>
      <c r="E4" s="23" t="s">
        <v>46</v>
      </c>
      <c r="F4" s="23"/>
      <c r="G4" s="23"/>
      <c r="H4" s="23"/>
      <c r="I4" s="23"/>
      <c r="J4" s="23"/>
      <c r="K4" s="296"/>
      <c r="L4" s="28"/>
      <c r="M4" s="23"/>
      <c r="N4" s="23"/>
      <c r="O4" s="23"/>
      <c r="P4" s="123"/>
      <c r="Q4" s="93"/>
      <c r="R4" s="91"/>
      <c r="S4" s="85"/>
      <c r="T4" s="85"/>
      <c r="U4" s="85"/>
      <c r="V4" s="85"/>
      <c r="W4" s="85"/>
      <c r="X4" s="85"/>
      <c r="Y4" s="85"/>
      <c r="Z4" s="86"/>
      <c r="AA4" s="87"/>
      <c r="AB4" s="88"/>
      <c r="AC4" s="61"/>
      <c r="AD4" s="1"/>
      <c r="AE4" s="1"/>
      <c r="AF4" s="1"/>
    </row>
    <row r="5" spans="1:35" ht="25.5">
      <c r="B5" s="39" t="s">
        <v>185</v>
      </c>
      <c r="C5" s="39" t="s">
        <v>91</v>
      </c>
      <c r="D5" s="23" t="s">
        <v>28</v>
      </c>
      <c r="E5" s="23"/>
      <c r="F5" s="23" t="s">
        <v>97</v>
      </c>
      <c r="G5" s="39" t="s">
        <v>131</v>
      </c>
      <c r="H5" s="39" t="s">
        <v>176</v>
      </c>
      <c r="I5" s="39" t="s">
        <v>54</v>
      </c>
      <c r="J5" s="39"/>
      <c r="K5" s="296" t="s">
        <v>62</v>
      </c>
      <c r="L5" s="44" t="s">
        <v>132</v>
      </c>
      <c r="M5" s="20"/>
      <c r="N5" s="28"/>
      <c r="O5" s="28"/>
      <c r="P5" s="120"/>
      <c r="Q5" s="84"/>
      <c r="R5" s="84"/>
      <c r="S5" s="84"/>
      <c r="T5" s="84"/>
      <c r="U5" s="84"/>
      <c r="V5" s="84"/>
      <c r="W5" s="84"/>
      <c r="X5" s="84"/>
      <c r="Y5" s="84"/>
      <c r="Z5" s="83"/>
      <c r="AA5" s="94"/>
      <c r="AB5" s="95"/>
    </row>
    <row r="6" spans="1:35" ht="15">
      <c r="A6" s="337" t="s">
        <v>156</v>
      </c>
      <c r="B6" s="460">
        <v>20.78</v>
      </c>
      <c r="C6" s="290">
        <f>$B$22*B6+$B$23</f>
        <v>48.388446149267551</v>
      </c>
      <c r="D6" s="265">
        <f>RANK(C6,$C$6:$C$19)</f>
        <v>5</v>
      </c>
      <c r="E6" s="189"/>
      <c r="F6" s="462">
        <v>8.3099999999999993E-2</v>
      </c>
      <c r="G6" s="464">
        <v>1.3029999999999999</v>
      </c>
      <c r="H6" s="311">
        <f>+G6/F6</f>
        <v>15.679903730445247</v>
      </c>
      <c r="I6" s="409">
        <f>$F$22*H6+$F$23</f>
        <v>49.999999999999993</v>
      </c>
      <c r="J6" s="203">
        <f>RANK(I6,$I$6:$I$19)</f>
        <v>1</v>
      </c>
      <c r="K6" s="126">
        <f>C6+I6</f>
        <v>98.388446149267537</v>
      </c>
      <c r="L6" s="128"/>
      <c r="M6" s="128"/>
      <c r="N6" s="28"/>
      <c r="O6" s="28"/>
      <c r="P6" s="125"/>
      <c r="Q6" s="84"/>
      <c r="R6" s="84"/>
      <c r="S6" s="84"/>
      <c r="T6" s="84"/>
      <c r="U6" s="84"/>
      <c r="V6" s="84"/>
      <c r="W6" s="84"/>
      <c r="X6" s="84"/>
      <c r="Y6" s="84"/>
      <c r="Z6" s="83"/>
      <c r="AA6" s="94"/>
      <c r="AB6" s="95"/>
      <c r="AH6" s="31"/>
      <c r="AI6" s="31"/>
    </row>
    <row r="7" spans="1:35" ht="15">
      <c r="A7" s="337" t="s">
        <v>195</v>
      </c>
      <c r="B7" s="460">
        <v>10.52</v>
      </c>
      <c r="C7" s="290">
        <f t="shared" ref="C7" si="0">$B$22*B7+$B$23</f>
        <v>50</v>
      </c>
      <c r="D7" s="265">
        <f t="shared" ref="D7:D14" si="1">RANK(C7,$C$6:$C$19)</f>
        <v>1</v>
      </c>
      <c r="E7" s="211"/>
      <c r="F7" s="462">
        <v>8.6599999999999996E-2</v>
      </c>
      <c r="G7" s="464">
        <v>1.3009999999999999</v>
      </c>
      <c r="H7" s="311">
        <f t="shared" ref="H7:H8" si="2">+G7/F7</f>
        <v>15.023094688221709</v>
      </c>
      <c r="I7" s="409">
        <f t="shared" ref="I7:I14" si="3">$F$22*H7+$F$23</f>
        <v>45.808617695495236</v>
      </c>
      <c r="J7" s="203">
        <f t="shared" ref="J7:J14" si="4">RANK(I7,$I$6:$I$19)</f>
        <v>2</v>
      </c>
      <c r="K7" s="126">
        <f t="shared" ref="K7:K14" si="5">C7+I7</f>
        <v>95.808617695495229</v>
      </c>
      <c r="L7" s="128"/>
      <c r="M7" s="128"/>
      <c r="N7" s="28"/>
      <c r="O7" s="28"/>
      <c r="P7" s="120"/>
      <c r="Q7" s="84"/>
      <c r="R7" s="84"/>
      <c r="S7" s="84"/>
      <c r="T7" s="84"/>
      <c r="U7" s="84"/>
      <c r="V7" s="84"/>
      <c r="W7" s="84"/>
      <c r="X7" s="84"/>
      <c r="Y7" s="84"/>
      <c r="Z7" s="83"/>
      <c r="AA7" s="94"/>
      <c r="AB7" s="95"/>
      <c r="AH7" s="31"/>
      <c r="AI7" s="31"/>
    </row>
    <row r="8" spans="1:35" ht="15">
      <c r="A8" s="337" t="s">
        <v>196</v>
      </c>
      <c r="B8" s="460">
        <v>34.92</v>
      </c>
      <c r="C8" s="290">
        <f>$B$22*B8+$B$23</f>
        <v>46.167454779934531</v>
      </c>
      <c r="D8" s="265">
        <f t="shared" si="1"/>
        <v>6</v>
      </c>
      <c r="E8" s="211"/>
      <c r="F8" s="462">
        <v>0.12529999999999999</v>
      </c>
      <c r="G8" s="464">
        <v>1.3029999999999999</v>
      </c>
      <c r="H8" s="311">
        <f t="shared" si="2"/>
        <v>10.399042298483639</v>
      </c>
      <c r="I8" s="409">
        <f t="shared" si="3"/>
        <v>16.300541351359151</v>
      </c>
      <c r="J8" s="203">
        <f t="shared" si="4"/>
        <v>6</v>
      </c>
      <c r="K8" s="126">
        <f t="shared" si="5"/>
        <v>62.467996131293681</v>
      </c>
      <c r="L8" s="128"/>
      <c r="M8" s="128"/>
      <c r="N8" s="28"/>
      <c r="O8" s="28"/>
      <c r="P8" s="120"/>
      <c r="Q8" s="84"/>
      <c r="R8" s="84"/>
      <c r="S8" s="84"/>
      <c r="T8" s="84"/>
      <c r="U8" s="84"/>
      <c r="V8" s="84"/>
      <c r="W8" s="84"/>
      <c r="X8" s="84"/>
      <c r="Y8" s="84"/>
      <c r="Z8" s="83"/>
      <c r="AA8" s="94"/>
      <c r="AB8" s="95"/>
      <c r="AH8" s="31"/>
      <c r="AI8" s="31"/>
    </row>
    <row r="9" spans="1:35" s="214" customFormat="1" ht="15">
      <c r="A9" s="343" t="s">
        <v>197</v>
      </c>
      <c r="B9" s="460"/>
      <c r="C9" s="290"/>
      <c r="D9" s="265"/>
      <c r="E9" s="251"/>
      <c r="F9" s="462"/>
      <c r="G9" s="464"/>
      <c r="H9" s="311"/>
      <c r="I9" s="409"/>
      <c r="J9" s="203"/>
      <c r="K9" s="126"/>
      <c r="L9" s="312" t="s">
        <v>46</v>
      </c>
      <c r="M9" s="256"/>
      <c r="N9" s="249"/>
      <c r="O9" s="249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19"/>
      <c r="AB9" s="217"/>
      <c r="AC9" s="217"/>
      <c r="AH9" s="255"/>
      <c r="AI9" s="255"/>
    </row>
    <row r="10" spans="1:35" s="214" customFormat="1" ht="15">
      <c r="A10" s="337" t="s">
        <v>204</v>
      </c>
      <c r="B10" s="461">
        <v>312.93</v>
      </c>
      <c r="C10" s="290">
        <f t="shared" ref="C10:C14" si="6">$B$22*B10+$B$23</f>
        <v>2.5</v>
      </c>
      <c r="D10" s="265">
        <f t="shared" si="1"/>
        <v>8</v>
      </c>
      <c r="E10" s="251"/>
      <c r="F10" s="462">
        <v>0.1661</v>
      </c>
      <c r="G10" s="464">
        <v>1.3029999999999999</v>
      </c>
      <c r="H10" s="311">
        <f>+G10/F10</f>
        <v>7.8446718844069832</v>
      </c>
      <c r="I10" s="409">
        <f t="shared" si="3"/>
        <v>0</v>
      </c>
      <c r="J10" s="203">
        <f t="shared" si="4"/>
        <v>8</v>
      </c>
      <c r="K10" s="126">
        <f t="shared" si="5"/>
        <v>2.5</v>
      </c>
      <c r="L10" s="256"/>
      <c r="M10" s="256"/>
      <c r="N10" s="249"/>
      <c r="O10" s="249"/>
      <c r="P10" s="257"/>
      <c r="Q10" s="257"/>
      <c r="R10" s="257"/>
      <c r="S10" s="257"/>
      <c r="T10" s="254"/>
      <c r="U10" s="254"/>
      <c r="V10" s="254"/>
      <c r="W10" s="254"/>
      <c r="X10" s="254"/>
      <c r="Y10" s="254"/>
      <c r="Z10" s="219"/>
      <c r="AB10" s="217"/>
      <c r="AC10" s="217"/>
      <c r="AH10" s="255"/>
      <c r="AI10" s="255"/>
    </row>
    <row r="11" spans="1:35" ht="15">
      <c r="A11" s="344" t="s">
        <v>199</v>
      </c>
      <c r="B11" s="460">
        <v>13.4</v>
      </c>
      <c r="C11" s="290">
        <f t="shared" si="6"/>
        <v>49.547634006811947</v>
      </c>
      <c r="D11" s="265">
        <f t="shared" si="1"/>
        <v>3</v>
      </c>
      <c r="E11" s="189"/>
      <c r="F11" s="462">
        <v>9.4E-2</v>
      </c>
      <c r="G11" s="464">
        <v>1.31</v>
      </c>
      <c r="H11" s="311">
        <f t="shared" ref="H11:H14" si="7">+G11/F11</f>
        <v>13.936170212765958</v>
      </c>
      <c r="I11" s="409">
        <f t="shared" si="3"/>
        <v>38.872482959384449</v>
      </c>
      <c r="J11" s="203">
        <f t="shared" si="4"/>
        <v>4</v>
      </c>
      <c r="K11" s="126">
        <f t="shared" si="5"/>
        <v>88.420116966196389</v>
      </c>
      <c r="L11" s="128"/>
      <c r="M11" s="128"/>
      <c r="N11" s="28"/>
      <c r="O11" s="28"/>
      <c r="P11" s="125"/>
      <c r="Q11" s="97"/>
      <c r="R11" s="97"/>
      <c r="S11" s="97"/>
      <c r="T11" s="84"/>
      <c r="U11" s="84"/>
      <c r="V11" s="84"/>
      <c r="W11" s="84"/>
      <c r="X11" s="84"/>
      <c r="Y11" s="84"/>
      <c r="Z11" s="83"/>
      <c r="AA11" s="94"/>
      <c r="AB11" s="95"/>
      <c r="AH11" s="31"/>
      <c r="AI11" s="31"/>
    </row>
    <row r="12" spans="1:35" ht="15">
      <c r="A12" s="343" t="s">
        <v>200</v>
      </c>
      <c r="B12" s="460">
        <v>12.02</v>
      </c>
      <c r="C12" s="290">
        <f t="shared" si="6"/>
        <v>49.764392711881221</v>
      </c>
      <c r="D12" s="265">
        <f t="shared" si="1"/>
        <v>2</v>
      </c>
      <c r="E12" s="189"/>
      <c r="F12" s="462">
        <v>0.1244</v>
      </c>
      <c r="G12" s="464">
        <v>1.304</v>
      </c>
      <c r="H12" s="311">
        <f t="shared" si="7"/>
        <v>10.482315112540194</v>
      </c>
      <c r="I12" s="409">
        <f t="shared" si="3"/>
        <v>16.831941159896139</v>
      </c>
      <c r="J12" s="203">
        <f t="shared" si="4"/>
        <v>5</v>
      </c>
      <c r="K12" s="126">
        <f t="shared" si="5"/>
        <v>66.596333871777361</v>
      </c>
      <c r="L12" s="128"/>
      <c r="M12" s="128"/>
      <c r="N12" s="28"/>
      <c r="O12" s="28"/>
      <c r="P12" s="125"/>
      <c r="Q12" s="97"/>
      <c r="R12" s="97"/>
      <c r="S12" s="97"/>
      <c r="T12" s="84"/>
      <c r="U12" s="84"/>
      <c r="V12" s="84"/>
      <c r="W12" s="84"/>
      <c r="X12" s="84"/>
      <c r="Y12" s="84"/>
      <c r="Z12" s="83"/>
      <c r="AA12" s="94"/>
      <c r="AB12" s="95"/>
      <c r="AH12" s="31"/>
      <c r="AI12" s="31"/>
    </row>
    <row r="13" spans="1:35" ht="15">
      <c r="A13" s="344" t="s">
        <v>212</v>
      </c>
      <c r="B13" s="460">
        <v>52.54</v>
      </c>
      <c r="C13" s="290">
        <f t="shared" si="6"/>
        <v>43.399854502165937</v>
      </c>
      <c r="D13" s="265">
        <f t="shared" si="1"/>
        <v>7</v>
      </c>
      <c r="E13" s="211"/>
      <c r="F13" s="462">
        <v>9.1899999999999996E-2</v>
      </c>
      <c r="G13" s="464">
        <v>1.3009999999999999</v>
      </c>
      <c r="H13" s="311">
        <f t="shared" si="7"/>
        <v>14.156692056583243</v>
      </c>
      <c r="I13" s="409">
        <f t="shared" si="3"/>
        <v>40.279728131898302</v>
      </c>
      <c r="J13" s="203">
        <f t="shared" si="4"/>
        <v>3</v>
      </c>
      <c r="K13" s="126">
        <f t="shared" si="5"/>
        <v>83.679582634064246</v>
      </c>
      <c r="L13" s="128"/>
      <c r="M13" s="128"/>
      <c r="N13" s="28"/>
      <c r="O13" s="28"/>
      <c r="P13" s="120"/>
      <c r="Q13" s="84"/>
      <c r="R13" s="84"/>
      <c r="S13" s="84"/>
      <c r="T13" s="84"/>
      <c r="U13" s="84"/>
      <c r="V13" s="84"/>
      <c r="W13" s="84"/>
      <c r="X13" s="84"/>
      <c r="Y13" s="84"/>
      <c r="Z13" s="83"/>
      <c r="AA13" s="94"/>
      <c r="AB13" s="95"/>
      <c r="AH13" s="31"/>
      <c r="AI13" s="31"/>
    </row>
    <row r="14" spans="1:35" ht="15">
      <c r="A14" s="344" t="s">
        <v>214</v>
      </c>
      <c r="B14" s="460">
        <v>17.84</v>
      </c>
      <c r="C14" s="290">
        <f t="shared" si="6"/>
        <v>48.850236433980363</v>
      </c>
      <c r="D14" s="265">
        <f t="shared" si="1"/>
        <v>4</v>
      </c>
      <c r="E14" s="189"/>
      <c r="F14" s="462">
        <v>0.13400000000000001</v>
      </c>
      <c r="G14" s="464">
        <v>1.3069999999999999</v>
      </c>
      <c r="H14" s="311">
        <f t="shared" si="7"/>
        <v>9.7537313432835813</v>
      </c>
      <c r="I14" s="409">
        <f t="shared" si="3"/>
        <v>12.182533308455177</v>
      </c>
      <c r="J14" s="203">
        <f t="shared" si="4"/>
        <v>7</v>
      </c>
      <c r="K14" s="126">
        <f t="shared" si="5"/>
        <v>61.032769742435541</v>
      </c>
      <c r="L14" s="128"/>
      <c r="M14" s="128"/>
      <c r="N14" s="28"/>
      <c r="O14" s="28"/>
      <c r="P14" s="120"/>
      <c r="Q14" s="84"/>
      <c r="R14" s="84"/>
      <c r="S14" s="84"/>
      <c r="T14" s="84"/>
      <c r="U14" s="84"/>
      <c r="V14" s="84"/>
      <c r="W14" s="84"/>
      <c r="X14" s="84"/>
      <c r="Y14" s="84"/>
      <c r="Z14" s="83"/>
      <c r="AA14" s="94"/>
      <c r="AB14" s="95"/>
      <c r="AH14" s="31"/>
      <c r="AI14" s="31"/>
    </row>
    <row r="15" spans="1:35" ht="15">
      <c r="A15" s="344" t="s">
        <v>215</v>
      </c>
      <c r="B15" s="460"/>
      <c r="C15" s="290"/>
      <c r="D15" s="265"/>
      <c r="E15" s="463" t="s">
        <v>328</v>
      </c>
      <c r="F15" s="462"/>
      <c r="G15" s="464"/>
      <c r="H15" s="311"/>
      <c r="I15" s="409"/>
      <c r="J15" s="203"/>
      <c r="K15" s="126"/>
      <c r="L15" s="465" t="s">
        <v>329</v>
      </c>
      <c r="M15" s="128"/>
      <c r="N15" s="28"/>
      <c r="O15" s="28"/>
      <c r="P15" s="120"/>
      <c r="Q15" s="84"/>
      <c r="R15" s="84"/>
      <c r="S15" s="84"/>
      <c r="T15" s="84"/>
      <c r="U15" s="84"/>
      <c r="V15" s="84"/>
      <c r="W15" s="84"/>
      <c r="X15" s="84"/>
      <c r="Y15" s="84"/>
      <c r="Z15" s="83"/>
      <c r="AA15" s="94"/>
      <c r="AB15" s="95"/>
      <c r="AH15" s="31"/>
      <c r="AI15" s="31"/>
    </row>
    <row r="16" spans="1:35" s="143" customFormat="1" ht="15">
      <c r="A16" s="438" t="s">
        <v>250</v>
      </c>
      <c r="B16" s="449"/>
      <c r="C16" s="290"/>
      <c r="D16" s="265"/>
      <c r="E16" s="189"/>
      <c r="F16" s="463"/>
      <c r="G16" s="464"/>
      <c r="H16" s="311"/>
      <c r="I16" s="409"/>
      <c r="J16" s="203"/>
      <c r="K16" s="126"/>
      <c r="L16" s="153"/>
      <c r="M16" s="153"/>
      <c r="N16" s="152"/>
      <c r="O16" s="152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37"/>
      <c r="AA16" s="146"/>
      <c r="AB16" s="145"/>
      <c r="AC16" s="142"/>
      <c r="AH16" s="155"/>
      <c r="AI16" s="155"/>
    </row>
    <row r="17" spans="1:35" s="143" customFormat="1" ht="15">
      <c r="A17" s="344" t="s">
        <v>217</v>
      </c>
      <c r="B17" s="449"/>
      <c r="C17" s="290"/>
      <c r="D17" s="265"/>
      <c r="E17" s="189"/>
      <c r="F17" s="463"/>
      <c r="G17" s="464"/>
      <c r="H17" s="311"/>
      <c r="I17" s="409"/>
      <c r="J17" s="203"/>
      <c r="K17" s="126"/>
      <c r="L17" s="153"/>
      <c r="M17" s="153"/>
      <c r="N17" s="152"/>
      <c r="O17" s="152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37"/>
      <c r="AA17" s="146"/>
      <c r="AB17" s="145"/>
      <c r="AC17" s="142"/>
      <c r="AH17" s="155"/>
      <c r="AI17" s="155"/>
    </row>
    <row r="18" spans="1:35" ht="15">
      <c r="A18" s="438" t="s">
        <v>251</v>
      </c>
      <c r="B18" s="460"/>
      <c r="C18" s="290"/>
      <c r="D18" s="265"/>
      <c r="E18" s="189"/>
      <c r="F18" s="463"/>
      <c r="G18" s="464"/>
      <c r="H18" s="311"/>
      <c r="I18" s="409"/>
      <c r="J18" s="203"/>
      <c r="K18" s="126"/>
      <c r="L18" s="40"/>
      <c r="M18" s="40"/>
      <c r="N18" s="40"/>
      <c r="O18" s="40"/>
      <c r="P18" s="127"/>
      <c r="Q18" s="99"/>
      <c r="R18" s="99"/>
      <c r="S18" s="100"/>
      <c r="T18" s="100"/>
      <c r="U18" s="100"/>
      <c r="V18" s="100"/>
      <c r="W18" s="100"/>
      <c r="X18" s="100"/>
      <c r="Y18" s="100"/>
      <c r="Z18" s="101"/>
      <c r="AA18" s="102"/>
      <c r="AB18" s="103"/>
      <c r="AC18" s="48"/>
      <c r="AD18" s="32"/>
      <c r="AE18" s="32"/>
      <c r="AF18" s="32"/>
      <c r="AG18" s="32"/>
      <c r="AH18" s="31"/>
      <c r="AI18" s="31"/>
    </row>
    <row r="19" spans="1:35" ht="15">
      <c r="A19" s="438" t="s">
        <v>252</v>
      </c>
      <c r="B19" s="460"/>
      <c r="C19" s="290"/>
      <c r="D19" s="265"/>
      <c r="E19" s="189"/>
      <c r="F19" s="463"/>
      <c r="G19" s="464"/>
      <c r="H19" s="311"/>
      <c r="I19" s="409"/>
      <c r="J19" s="203"/>
      <c r="K19" s="126"/>
      <c r="L19" s="40"/>
      <c r="M19" s="40"/>
      <c r="N19" s="40"/>
      <c r="O19" s="40"/>
      <c r="P19" s="127"/>
      <c r="Q19" s="99"/>
      <c r="R19" s="99"/>
      <c r="S19" s="100"/>
      <c r="T19" s="100"/>
      <c r="U19" s="100"/>
      <c r="V19" s="100"/>
      <c r="W19" s="100"/>
      <c r="X19" s="100"/>
      <c r="Y19" s="100"/>
      <c r="Z19" s="101"/>
      <c r="AA19" s="102"/>
      <c r="AB19" s="103"/>
      <c r="AC19" s="48"/>
      <c r="AD19" s="32"/>
      <c r="AE19" s="32"/>
      <c r="AF19" s="32"/>
      <c r="AG19" s="32"/>
      <c r="AH19" s="31"/>
      <c r="AI19" s="31"/>
    </row>
    <row r="20" spans="1:35" ht="15">
      <c r="A20" s="420"/>
      <c r="B20" s="134"/>
      <c r="C20" s="98"/>
      <c r="D20" s="98"/>
      <c r="E20" s="98"/>
      <c r="F20" s="98"/>
      <c r="G20" s="98"/>
      <c r="H20" s="98"/>
      <c r="I20" s="98"/>
      <c r="J20" s="98"/>
      <c r="K20" s="297"/>
      <c r="L20" s="98"/>
      <c r="M20" s="98"/>
      <c r="N20" s="105"/>
      <c r="O20" s="96"/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06"/>
      <c r="AA20" s="112"/>
      <c r="AB20" s="116"/>
      <c r="AC20" s="48"/>
      <c r="AD20" s="32"/>
      <c r="AE20" s="32"/>
      <c r="AF20" s="32"/>
      <c r="AG20" s="32"/>
      <c r="AH20" s="31"/>
      <c r="AI20" s="31"/>
    </row>
    <row r="21" spans="1:35">
      <c r="A21" s="89"/>
      <c r="B21" s="98"/>
      <c r="C21" s="98"/>
      <c r="D21" s="98"/>
      <c r="E21" s="98"/>
      <c r="F21" s="98"/>
      <c r="G21" s="98"/>
      <c r="H21" s="98"/>
      <c r="I21" s="98"/>
      <c r="J21" s="98"/>
      <c r="K21" s="297"/>
      <c r="L21" s="98"/>
      <c r="M21" s="98"/>
      <c r="N21" s="105"/>
      <c r="O21" s="96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06"/>
      <c r="AA21" s="112"/>
      <c r="AB21" s="116"/>
      <c r="AC21" s="48"/>
      <c r="AD21" s="32"/>
      <c r="AE21" s="32"/>
      <c r="AF21" s="32"/>
      <c r="AG21" s="32"/>
      <c r="AH21" s="31"/>
      <c r="AI21" s="31"/>
    </row>
    <row r="22" spans="1:35" ht="15">
      <c r="A22" s="89"/>
      <c r="B22" s="435">
        <f>(50-2.5)/(F1-F2)</f>
        <v>-0.15707152541251942</v>
      </c>
      <c r="D22" s="141"/>
      <c r="E22" s="98"/>
      <c r="F22" s="435">
        <f>(50)/(J2-J1)</f>
        <v>6.3814320983088137</v>
      </c>
      <c r="G22" s="98"/>
      <c r="I22" s="98"/>
      <c r="J22" s="98"/>
      <c r="K22" s="297"/>
      <c r="L22" s="98"/>
      <c r="M22" s="98"/>
      <c r="N22" s="105"/>
      <c r="O22" s="96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06"/>
      <c r="AA22" s="117"/>
      <c r="AB22" s="116"/>
    </row>
    <row r="23" spans="1:35" ht="15">
      <c r="A23" s="89" t="s">
        <v>186</v>
      </c>
      <c r="B23" s="436">
        <f>2.5-(B22*F2)</f>
        <v>51.652392447339707</v>
      </c>
      <c r="D23" s="183" t="s">
        <v>46</v>
      </c>
      <c r="E23" s="98"/>
      <c r="F23" s="436">
        <f>-(F22*J1)</f>
        <v>-50.060240963855414</v>
      </c>
      <c r="G23" s="98"/>
      <c r="I23" s="98"/>
      <c r="J23" s="98"/>
      <c r="K23" s="297"/>
      <c r="L23" s="98"/>
      <c r="M23" s="98"/>
      <c r="N23" s="105"/>
      <c r="O23" s="96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06"/>
      <c r="AA23" s="117"/>
      <c r="AB23" s="116"/>
    </row>
    <row r="24" spans="1:35" ht="15">
      <c r="A24" s="89" t="s">
        <v>187</v>
      </c>
      <c r="B24" s="90"/>
      <c r="C24" s="182"/>
      <c r="D24" s="182"/>
      <c r="E24" s="90"/>
      <c r="F24" s="90"/>
      <c r="G24" s="90"/>
      <c r="H24" s="90"/>
      <c r="I24" s="90"/>
      <c r="J24" s="90"/>
      <c r="K24" s="297"/>
      <c r="L24" s="90"/>
      <c r="M24" s="90"/>
      <c r="N24" s="105"/>
      <c r="O24" s="96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106"/>
      <c r="AA24" s="117"/>
      <c r="AB24" s="116"/>
    </row>
    <row r="25" spans="1:35">
      <c r="A25" s="89"/>
      <c r="B25" s="98"/>
      <c r="C25" s="98" t="s">
        <v>46</v>
      </c>
      <c r="D25" s="185" t="s">
        <v>46</v>
      </c>
      <c r="E25" s="98"/>
      <c r="F25" s="98"/>
      <c r="G25" s="98"/>
      <c r="H25" s="98"/>
      <c r="I25" s="98"/>
      <c r="J25" s="98"/>
      <c r="K25" s="297"/>
      <c r="L25" s="98"/>
      <c r="M25" s="98"/>
      <c r="N25" s="105"/>
      <c r="O25" s="96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06"/>
      <c r="AA25" s="117"/>
      <c r="AB25" s="116"/>
    </row>
    <row r="26" spans="1:35">
      <c r="A26" s="89"/>
      <c r="B26" s="98"/>
      <c r="C26" s="98" t="s">
        <v>85</v>
      </c>
      <c r="D26" s="98"/>
      <c r="E26" s="98"/>
      <c r="F26" s="98"/>
      <c r="G26" s="98"/>
      <c r="H26" s="98"/>
      <c r="I26" s="98"/>
      <c r="J26" s="98"/>
      <c r="K26" s="297"/>
      <c r="L26" s="98"/>
      <c r="M26" s="98"/>
      <c r="N26" s="105"/>
      <c r="O26" s="96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06"/>
      <c r="AA26" s="117"/>
      <c r="AB26" s="116"/>
    </row>
    <row r="27" spans="1:3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297"/>
      <c r="L27" s="90"/>
      <c r="M27" s="90"/>
      <c r="N27" s="105"/>
      <c r="O27" s="96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106"/>
      <c r="AA27" s="117"/>
      <c r="AB27" s="116"/>
    </row>
    <row r="28" spans="1:35">
      <c r="A28" s="89"/>
      <c r="B28" s="90"/>
      <c r="C28" s="90"/>
      <c r="D28" s="90"/>
      <c r="E28" s="90"/>
      <c r="F28" s="90"/>
      <c r="G28" s="90"/>
      <c r="H28" s="90"/>
      <c r="I28" s="90"/>
      <c r="J28" s="90"/>
      <c r="K28" s="297"/>
      <c r="L28" s="90"/>
      <c r="M28" s="90"/>
      <c r="N28" s="105"/>
      <c r="O28" s="96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106"/>
      <c r="AA28" s="117"/>
      <c r="AB28" s="116"/>
    </row>
    <row r="29" spans="1:35">
      <c r="A29" s="89"/>
      <c r="B29" s="98"/>
      <c r="C29" s="98"/>
      <c r="D29" s="98"/>
      <c r="E29" s="98"/>
      <c r="F29" s="98"/>
      <c r="G29" s="98"/>
      <c r="H29" s="98"/>
      <c r="I29" s="98"/>
      <c r="J29" s="98"/>
      <c r="K29" s="297"/>
      <c r="L29" s="98"/>
      <c r="M29" s="98"/>
      <c r="N29" s="105"/>
      <c r="O29" s="96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06"/>
      <c r="AA29" s="117"/>
      <c r="AB29" s="116"/>
    </row>
    <row r="30" spans="1:35">
      <c r="A30" s="89"/>
      <c r="B30" s="98"/>
      <c r="C30" s="98"/>
      <c r="D30" s="98"/>
      <c r="E30" s="98"/>
      <c r="F30" s="98"/>
      <c r="G30" s="98"/>
      <c r="H30" s="98"/>
      <c r="I30" s="98"/>
      <c r="J30" s="98"/>
      <c r="K30" s="297"/>
      <c r="L30" s="98"/>
      <c r="M30" s="98"/>
      <c r="N30" s="105"/>
      <c r="O30" s="96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06"/>
      <c r="AA30" s="117"/>
      <c r="AB30" s="116"/>
    </row>
    <row r="31" spans="1:35">
      <c r="A31" s="89"/>
      <c r="B31" s="90"/>
      <c r="C31" s="90"/>
      <c r="D31" s="90"/>
      <c r="E31" s="90"/>
      <c r="F31" s="90"/>
      <c r="G31" s="90"/>
      <c r="H31" s="90"/>
      <c r="I31" s="90"/>
      <c r="J31" s="90"/>
      <c r="K31" s="297"/>
      <c r="L31" s="90"/>
      <c r="M31" s="90"/>
      <c r="N31" s="105"/>
      <c r="O31" s="96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106"/>
      <c r="AA31" s="117"/>
      <c r="AB31" s="116"/>
    </row>
    <row r="32" spans="1:35">
      <c r="A32" s="89"/>
      <c r="B32" s="118"/>
      <c r="C32" s="98"/>
      <c r="D32" s="98"/>
      <c r="E32" s="98"/>
      <c r="F32" s="98"/>
      <c r="G32" s="98"/>
      <c r="H32" s="98"/>
      <c r="I32" s="98"/>
      <c r="J32" s="98"/>
      <c r="K32" s="297"/>
      <c r="L32" s="98"/>
      <c r="M32" s="98"/>
      <c r="N32" s="105"/>
      <c r="O32" s="96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06"/>
      <c r="AA32" s="117"/>
      <c r="AB32" s="116"/>
    </row>
    <row r="33" spans="1:28">
      <c r="A33" s="89"/>
      <c r="B33" s="98"/>
      <c r="C33" s="98"/>
      <c r="D33" s="98"/>
      <c r="E33" s="98"/>
      <c r="F33" s="98"/>
      <c r="G33" s="98"/>
      <c r="H33" s="98"/>
      <c r="I33" s="98"/>
      <c r="J33" s="98"/>
      <c r="K33" s="297"/>
      <c r="L33" s="98"/>
      <c r="M33" s="98"/>
      <c r="N33" s="106"/>
      <c r="O33" s="96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06"/>
      <c r="AA33" s="117"/>
      <c r="AB33" s="88"/>
    </row>
    <row r="34" spans="1:28">
      <c r="A34" s="89"/>
      <c r="B34" s="90"/>
      <c r="C34" s="90"/>
      <c r="D34" s="178"/>
      <c r="E34" s="75"/>
      <c r="F34" s="75"/>
      <c r="G34" s="90"/>
      <c r="H34" s="90"/>
      <c r="I34" s="90"/>
      <c r="J34" s="90"/>
      <c r="K34" s="297"/>
      <c r="L34" s="90"/>
      <c r="M34" s="90"/>
      <c r="N34" s="105"/>
      <c r="O34" s="96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106"/>
      <c r="AA34" s="117"/>
      <c r="AB34" s="116"/>
    </row>
    <row r="35" spans="1:28">
      <c r="A35" s="89"/>
      <c r="B35" s="98"/>
      <c r="C35" s="98"/>
      <c r="D35" s="75"/>
      <c r="E35" s="75"/>
      <c r="F35" s="177"/>
      <c r="G35" s="173"/>
      <c r="H35" s="173"/>
      <c r="I35" s="173"/>
      <c r="J35" s="98"/>
      <c r="K35" s="297"/>
      <c r="L35" s="98"/>
      <c r="M35" s="98"/>
      <c r="N35" s="105"/>
      <c r="O35" s="96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06"/>
      <c r="AA35" s="117"/>
      <c r="AB35" s="116"/>
    </row>
    <row r="36" spans="1:28">
      <c r="A36" s="89"/>
      <c r="B36" s="98"/>
      <c r="C36" s="90"/>
      <c r="D36" s="75"/>
      <c r="E36" s="75"/>
      <c r="F36" s="75"/>
      <c r="G36" s="90"/>
      <c r="H36" s="90"/>
      <c r="I36" s="90"/>
      <c r="J36" s="90"/>
      <c r="K36" s="297"/>
      <c r="L36" s="90"/>
      <c r="M36" s="90"/>
      <c r="N36" s="105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106"/>
      <c r="AA36" s="117"/>
      <c r="AB36" s="116"/>
    </row>
    <row r="37" spans="1:28">
      <c r="A37" s="83"/>
      <c r="B37" s="90"/>
      <c r="C37" s="90"/>
      <c r="D37" s="90"/>
      <c r="E37" s="90"/>
      <c r="F37" s="90"/>
      <c r="G37" s="90"/>
      <c r="H37" s="90"/>
      <c r="I37" s="90"/>
      <c r="J37" s="90"/>
      <c r="K37" s="297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117"/>
      <c r="AB37" s="88"/>
    </row>
    <row r="38" spans="1:28">
      <c r="A38" s="83"/>
      <c r="B38" s="90"/>
      <c r="C38" s="90"/>
      <c r="D38" s="90"/>
      <c r="E38" s="90"/>
      <c r="F38" s="90"/>
      <c r="G38" s="90"/>
      <c r="H38" s="90"/>
      <c r="I38" s="90"/>
      <c r="J38" s="90"/>
      <c r="K38" s="297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117"/>
      <c r="AB38" s="88"/>
    </row>
    <row r="39" spans="1:28">
      <c r="A39" s="83"/>
      <c r="B39" s="92"/>
      <c r="C39" s="92"/>
      <c r="D39" s="92"/>
      <c r="E39" s="92"/>
      <c r="F39" s="92"/>
      <c r="G39" s="92"/>
      <c r="H39" s="92"/>
      <c r="I39" s="92"/>
      <c r="J39" s="92"/>
      <c r="K39" s="298"/>
      <c r="L39" s="92"/>
      <c r="M39" s="92"/>
      <c r="N39" s="92"/>
      <c r="O39" s="90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117"/>
      <c r="AB39" s="88"/>
    </row>
    <row r="40" spans="1:28">
      <c r="A40" s="108"/>
      <c r="B40" s="90"/>
      <c r="C40" s="90"/>
      <c r="D40" s="90"/>
      <c r="E40" s="90"/>
      <c r="F40" s="90"/>
      <c r="G40" s="90"/>
      <c r="H40" s="90"/>
      <c r="I40" s="90"/>
      <c r="J40" s="90"/>
      <c r="K40" s="297"/>
      <c r="L40" s="90"/>
      <c r="M40" s="90"/>
      <c r="N40" s="105"/>
      <c r="O40" s="96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106"/>
      <c r="AA40" s="117"/>
      <c r="AB40" s="116"/>
    </row>
    <row r="41" spans="1:28">
      <c r="A41" s="89"/>
      <c r="B41" s="90"/>
      <c r="C41" s="90"/>
      <c r="D41" s="90"/>
      <c r="E41" s="90"/>
      <c r="F41" s="90"/>
      <c r="G41" s="90"/>
      <c r="H41" s="90"/>
      <c r="I41" s="90"/>
      <c r="J41" s="90"/>
      <c r="K41" s="297"/>
      <c r="L41" s="90"/>
      <c r="M41" s="90"/>
      <c r="N41" s="105"/>
      <c r="O41" s="96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106"/>
      <c r="AA41" s="117"/>
      <c r="AB41" s="116"/>
    </row>
    <row r="42" spans="1:28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297"/>
      <c r="L42" s="90"/>
      <c r="M42" s="90"/>
      <c r="N42" s="105"/>
      <c r="O42" s="96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106"/>
      <c r="AA42" s="117"/>
      <c r="AB42" s="116"/>
    </row>
    <row r="43" spans="1:28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297"/>
      <c r="L43" s="90"/>
      <c r="M43" s="90"/>
      <c r="N43" s="105"/>
      <c r="O43" s="96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106"/>
      <c r="AA43" s="117"/>
      <c r="AB43" s="116"/>
    </row>
    <row r="44" spans="1:28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297"/>
      <c r="L44" s="90"/>
      <c r="M44" s="90"/>
      <c r="N44" s="105"/>
      <c r="O44" s="96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106"/>
      <c r="AA44" s="117"/>
      <c r="AB44" s="116"/>
    </row>
    <row r="45" spans="1:28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297"/>
      <c r="L45" s="90"/>
      <c r="M45" s="90"/>
      <c r="N45" s="105"/>
      <c r="O45" s="96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106"/>
      <c r="AA45" s="117"/>
      <c r="AB45" s="116"/>
    </row>
    <row r="46" spans="1:28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297"/>
      <c r="L46" s="90"/>
      <c r="M46" s="90"/>
      <c r="N46" s="105"/>
      <c r="O46" s="96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106"/>
      <c r="AA46" s="117"/>
      <c r="AB46" s="116"/>
    </row>
    <row r="47" spans="1:28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297"/>
      <c r="L47" s="90"/>
      <c r="M47" s="90"/>
      <c r="N47" s="105"/>
      <c r="O47" s="96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106"/>
      <c r="AA47" s="117"/>
      <c r="AB47" s="116"/>
    </row>
    <row r="48" spans="1:28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297"/>
      <c r="L48" s="90"/>
      <c r="M48" s="90"/>
      <c r="N48" s="105"/>
      <c r="O48" s="96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106"/>
      <c r="AA48" s="117"/>
      <c r="AB48" s="116"/>
    </row>
    <row r="49" spans="1:28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297"/>
      <c r="L49" s="90"/>
      <c r="M49" s="90"/>
      <c r="N49" s="105"/>
      <c r="O49" s="96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106"/>
      <c r="AA49" s="117"/>
      <c r="AB49" s="116"/>
    </row>
    <row r="50" spans="1:28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297"/>
      <c r="L50" s="90"/>
      <c r="M50" s="90"/>
      <c r="N50" s="105"/>
      <c r="O50" s="96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106"/>
      <c r="AA50" s="117"/>
      <c r="AB50" s="116"/>
    </row>
    <row r="51" spans="1:28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297"/>
      <c r="L51" s="90"/>
      <c r="M51" s="90"/>
      <c r="N51" s="105"/>
      <c r="O51" s="96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106"/>
      <c r="AA51" s="117"/>
      <c r="AB51" s="116"/>
    </row>
    <row r="52" spans="1:28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297"/>
      <c r="L52" s="90"/>
      <c r="M52" s="90"/>
      <c r="N52" s="105"/>
      <c r="O52" s="96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106"/>
      <c r="AA52" s="117"/>
      <c r="AB52" s="116"/>
    </row>
    <row r="53" spans="1:28">
      <c r="A53" s="89"/>
      <c r="B53" s="98"/>
      <c r="C53" s="98"/>
      <c r="D53" s="98"/>
      <c r="E53" s="98"/>
      <c r="F53" s="98"/>
      <c r="G53" s="98"/>
      <c r="H53" s="98"/>
      <c r="I53" s="98"/>
      <c r="J53" s="98"/>
      <c r="K53" s="297"/>
      <c r="L53" s="98"/>
      <c r="M53" s="98"/>
      <c r="N53" s="106"/>
      <c r="O53" s="96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106"/>
      <c r="AA53" s="117"/>
      <c r="AB53" s="88"/>
    </row>
    <row r="54" spans="1:28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297"/>
      <c r="L54" s="90"/>
      <c r="M54" s="90"/>
      <c r="N54" s="105"/>
      <c r="O54" s="96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106"/>
      <c r="AA54" s="117"/>
      <c r="AB54" s="116"/>
    </row>
    <row r="55" spans="1:28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297"/>
      <c r="L55" s="90"/>
      <c r="M55" s="90"/>
      <c r="N55" s="105"/>
      <c r="O55" s="96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106"/>
      <c r="AA55" s="117"/>
      <c r="AB55" s="116"/>
    </row>
    <row r="56" spans="1:28">
      <c r="A56" s="89"/>
      <c r="B56" s="117"/>
      <c r="C56" s="117"/>
      <c r="D56" s="117"/>
      <c r="E56" s="117"/>
      <c r="F56" s="117"/>
      <c r="G56" s="117"/>
      <c r="H56" s="117"/>
      <c r="I56" s="117"/>
      <c r="J56" s="117"/>
      <c r="K56" s="299"/>
      <c r="L56" s="117"/>
      <c r="M56" s="117"/>
      <c r="N56" s="109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0"/>
      <c r="AA56" s="117"/>
      <c r="AB56" s="88"/>
    </row>
    <row r="57" spans="1:28">
      <c r="A57" s="94"/>
      <c r="B57" s="117"/>
      <c r="C57" s="117"/>
      <c r="D57" s="117"/>
      <c r="E57" s="117"/>
      <c r="F57" s="117"/>
      <c r="G57" s="117"/>
      <c r="H57" s="117"/>
      <c r="I57" s="117"/>
      <c r="J57" s="117"/>
      <c r="K57" s="299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88"/>
    </row>
    <row r="58" spans="1:28">
      <c r="A58" s="94"/>
      <c r="B58" s="88"/>
      <c r="C58" s="88"/>
      <c r="D58" s="88"/>
      <c r="E58" s="88"/>
      <c r="F58" s="88"/>
      <c r="G58" s="88"/>
      <c r="H58" s="88"/>
      <c r="I58" s="88"/>
      <c r="J58" s="88"/>
      <c r="K58" s="300"/>
      <c r="L58" s="88"/>
      <c r="M58" s="88"/>
      <c r="N58" s="117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</row>
    <row r="59" spans="1:28">
      <c r="A59" s="94"/>
      <c r="B59" s="95"/>
      <c r="C59" s="95"/>
      <c r="D59" s="95"/>
      <c r="E59" s="95"/>
      <c r="F59" s="95"/>
      <c r="G59" s="95"/>
      <c r="H59" s="95"/>
      <c r="I59" s="95"/>
      <c r="J59" s="95"/>
      <c r="K59" s="301"/>
      <c r="L59" s="95"/>
      <c r="M59" s="95"/>
      <c r="N59" s="107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</row>
    <row r="60" spans="1:28">
      <c r="A60" s="94"/>
      <c r="B60" s="95"/>
      <c r="C60" s="95"/>
      <c r="D60" s="95"/>
      <c r="E60" s="95"/>
      <c r="F60" s="95"/>
      <c r="G60" s="95"/>
      <c r="H60" s="95"/>
      <c r="I60" s="95"/>
      <c r="J60" s="95"/>
      <c r="K60" s="301"/>
      <c r="L60" s="95"/>
      <c r="M60" s="95"/>
      <c r="N60" s="107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</row>
    <row r="61" spans="1:28">
      <c r="A61" s="94"/>
      <c r="B61" s="95"/>
      <c r="C61" s="95"/>
      <c r="D61" s="95"/>
      <c r="E61" s="95"/>
      <c r="F61" s="95"/>
      <c r="G61" s="95"/>
      <c r="H61" s="95"/>
      <c r="I61" s="95"/>
      <c r="J61" s="95"/>
      <c r="K61" s="301"/>
      <c r="L61" s="95"/>
      <c r="M61" s="95"/>
      <c r="N61" s="107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</row>
    <row r="62" spans="1:28">
      <c r="A62" s="94"/>
      <c r="B62" s="95"/>
      <c r="C62" s="95"/>
      <c r="D62" s="95"/>
      <c r="E62" s="95"/>
      <c r="F62" s="95"/>
      <c r="G62" s="95"/>
      <c r="H62" s="95"/>
      <c r="I62" s="95"/>
      <c r="J62" s="95"/>
      <c r="K62" s="301"/>
      <c r="L62" s="95"/>
      <c r="M62" s="95"/>
      <c r="N62" s="107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</row>
    <row r="63" spans="1:28">
      <c r="A63" s="94"/>
      <c r="B63" s="94"/>
      <c r="C63" s="94"/>
      <c r="D63" s="94"/>
      <c r="E63" s="94"/>
      <c r="F63" s="94"/>
      <c r="G63" s="94"/>
      <c r="H63" s="94"/>
      <c r="I63" s="94"/>
      <c r="J63" s="94"/>
      <c r="K63" s="302"/>
      <c r="L63" s="95"/>
      <c r="M63" s="95"/>
      <c r="N63" s="107"/>
      <c r="O63" s="95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4"/>
      <c r="AA63" s="94"/>
      <c r="AB63" s="95"/>
    </row>
    <row r="64" spans="1:28">
      <c r="A64" s="94"/>
      <c r="B64" s="94"/>
      <c r="C64" s="94"/>
      <c r="D64" s="94"/>
      <c r="E64" s="94"/>
      <c r="F64" s="94"/>
      <c r="G64" s="94"/>
      <c r="H64" s="94"/>
      <c r="I64" s="94"/>
      <c r="J64" s="94"/>
      <c r="K64" s="302"/>
      <c r="L64" s="95"/>
      <c r="M64" s="95"/>
      <c r="N64" s="107"/>
      <c r="O64" s="95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4"/>
      <c r="AA64" s="94"/>
      <c r="AB64" s="95"/>
    </row>
    <row r="65" spans="1:14">
      <c r="A65" s="94"/>
      <c r="N65" s="42"/>
    </row>
    <row r="66" spans="1:14">
      <c r="N66" s="42"/>
    </row>
    <row r="67" spans="1:14">
      <c r="N67" s="42"/>
    </row>
    <row r="68" spans="1:14">
      <c r="N68" s="42"/>
    </row>
    <row r="69" spans="1:14">
      <c r="N69" s="42"/>
    </row>
    <row r="70" spans="1:14">
      <c r="N70" s="42"/>
    </row>
    <row r="71" spans="1:14">
      <c r="N71" s="42"/>
    </row>
    <row r="72" spans="1:14">
      <c r="N72" s="42"/>
    </row>
    <row r="73" spans="1:14">
      <c r="N73" s="42"/>
    </row>
    <row r="74" spans="1:14">
      <c r="N74" s="42"/>
    </row>
    <row r="75" spans="1:14">
      <c r="N75" s="42"/>
    </row>
    <row r="76" spans="1:14">
      <c r="N76" s="42"/>
    </row>
    <row r="77" spans="1:14">
      <c r="N77" s="42"/>
    </row>
    <row r="78" spans="1:14">
      <c r="N78" s="42"/>
    </row>
    <row r="79" spans="1:14">
      <c r="N79" s="42"/>
    </row>
    <row r="80" spans="1:14">
      <c r="N80" s="42"/>
    </row>
    <row r="81" spans="14:14">
      <c r="N81" s="42"/>
    </row>
    <row r="82" spans="14:14">
      <c r="N82" s="42"/>
    </row>
    <row r="83" spans="14:14">
      <c r="N83" s="42"/>
    </row>
    <row r="84" spans="14:14">
      <c r="N84" s="42"/>
    </row>
    <row r="85" spans="14:14">
      <c r="N85" s="42"/>
    </row>
    <row r="86" spans="14:14">
      <c r="N86" s="42"/>
    </row>
    <row r="87" spans="14:14">
      <c r="N87" s="42"/>
    </row>
    <row r="88" spans="14:14">
      <c r="N88" s="42"/>
    </row>
    <row r="89" spans="14:14">
      <c r="N89" s="42"/>
    </row>
    <row r="90" spans="14:14">
      <c r="N90" s="42"/>
    </row>
    <row r="91" spans="14:14">
      <c r="N91" s="42"/>
    </row>
    <row r="92" spans="14:14">
      <c r="N92" s="42"/>
    </row>
    <row r="93" spans="14:14">
      <c r="N93" s="42"/>
    </row>
    <row r="94" spans="14:14">
      <c r="N94" s="42"/>
    </row>
    <row r="95" spans="14:14">
      <c r="N95" s="42"/>
    </row>
    <row r="96" spans="14:14">
      <c r="N96" s="42"/>
    </row>
    <row r="97" spans="14:14">
      <c r="N97" s="42"/>
    </row>
    <row r="98" spans="14:14">
      <c r="N98" s="42"/>
    </row>
  </sheetData>
  <phoneticPr fontId="23" type="noConversion"/>
  <pageMargins left="0.75" right="0.75" top="1" bottom="1" header="0.5" footer="0.5"/>
  <pageSetup scale="77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dimension ref="A1:E17"/>
  <sheetViews>
    <sheetView workbookViewId="0"/>
  </sheetViews>
  <sheetFormatPr defaultColWidth="8.85546875" defaultRowHeight="12.75"/>
  <cols>
    <col min="1" max="1" width="37.7109375" customWidth="1"/>
    <col min="2" max="2" width="17.7109375" bestFit="1" customWidth="1"/>
    <col min="3" max="3" width="14.7109375" style="172" customWidth="1"/>
    <col min="4" max="4" width="8.85546875" style="3"/>
  </cols>
  <sheetData>
    <row r="1" spans="1:5" ht="18.75">
      <c r="A1" s="7" t="s">
        <v>232</v>
      </c>
      <c r="B1" s="6"/>
      <c r="C1" s="264"/>
      <c r="D1" s="18"/>
      <c r="E1" s="6"/>
    </row>
    <row r="2" spans="1:5">
      <c r="A2" s="219"/>
      <c r="B2" s="10"/>
      <c r="C2" s="264"/>
      <c r="D2" s="280"/>
      <c r="E2" s="6"/>
    </row>
    <row r="3" spans="1:5">
      <c r="A3" s="12"/>
      <c r="B3" s="15" t="s">
        <v>17</v>
      </c>
      <c r="C3" s="56" t="s">
        <v>14</v>
      </c>
      <c r="D3" s="280"/>
      <c r="E3" s="280"/>
    </row>
    <row r="4" spans="1:5" ht="15">
      <c r="A4" s="337" t="s">
        <v>156</v>
      </c>
      <c r="B4" s="313" t="s">
        <v>326</v>
      </c>
      <c r="C4" s="56">
        <f>IF(B4="fail",0,50)</f>
        <v>0</v>
      </c>
      <c r="D4" s="280"/>
      <c r="E4" s="6"/>
    </row>
    <row r="5" spans="1:5" ht="15">
      <c r="A5" s="337" t="s">
        <v>195</v>
      </c>
      <c r="B5" s="313" t="s">
        <v>327</v>
      </c>
      <c r="C5" s="56">
        <f t="shared" ref="C5:C6" si="0">IF(B5="fail",0,50)</f>
        <v>50</v>
      </c>
      <c r="D5" s="280"/>
      <c r="E5" s="6"/>
    </row>
    <row r="6" spans="1:5" ht="15">
      <c r="A6" s="337" t="s">
        <v>196</v>
      </c>
      <c r="B6" s="313" t="s">
        <v>327</v>
      </c>
      <c r="C6" s="56">
        <f t="shared" si="0"/>
        <v>50</v>
      </c>
      <c r="D6" s="280"/>
      <c r="E6" s="6"/>
    </row>
    <row r="7" spans="1:5" s="214" customFormat="1" ht="15">
      <c r="A7" s="343" t="s">
        <v>197</v>
      </c>
      <c r="B7" s="313" t="s">
        <v>311</v>
      </c>
      <c r="C7" s="56"/>
      <c r="D7" s="249"/>
      <c r="E7" s="219"/>
    </row>
    <row r="8" spans="1:5" s="271" customFormat="1" ht="15">
      <c r="A8" s="337" t="s">
        <v>204</v>
      </c>
      <c r="B8" s="313" t="s">
        <v>326</v>
      </c>
      <c r="C8" s="56">
        <f t="shared" ref="C8:C13" si="1">IF(B8="fail",0,50)</f>
        <v>0</v>
      </c>
      <c r="D8" s="249"/>
      <c r="E8" s="270"/>
    </row>
    <row r="9" spans="1:5" ht="15">
      <c r="A9" s="344" t="s">
        <v>199</v>
      </c>
      <c r="B9" s="313" t="s">
        <v>327</v>
      </c>
      <c r="C9" s="56">
        <f t="shared" si="1"/>
        <v>50</v>
      </c>
      <c r="D9" s="18"/>
      <c r="E9" s="6"/>
    </row>
    <row r="10" spans="1:5" ht="15">
      <c r="A10" s="343" t="s">
        <v>200</v>
      </c>
      <c r="B10" s="313" t="s">
        <v>327</v>
      </c>
      <c r="C10" s="56">
        <f t="shared" si="1"/>
        <v>50</v>
      </c>
      <c r="D10" s="18"/>
      <c r="E10" s="6"/>
    </row>
    <row r="11" spans="1:5" ht="15">
      <c r="A11" s="344" t="s">
        <v>212</v>
      </c>
      <c r="B11" s="313" t="s">
        <v>326</v>
      </c>
      <c r="C11" s="56">
        <f t="shared" si="1"/>
        <v>0</v>
      </c>
      <c r="D11" s="18"/>
      <c r="E11" s="6"/>
    </row>
    <row r="12" spans="1:5" ht="15">
      <c r="A12" s="344" t="s">
        <v>214</v>
      </c>
      <c r="B12" s="313" t="s">
        <v>326</v>
      </c>
      <c r="C12" s="56">
        <f t="shared" si="1"/>
        <v>0</v>
      </c>
      <c r="D12" s="18"/>
      <c r="E12" s="6"/>
    </row>
    <row r="13" spans="1:5" s="143" customFormat="1" ht="15">
      <c r="A13" s="344" t="s">
        <v>215</v>
      </c>
      <c r="B13" s="313" t="s">
        <v>327</v>
      </c>
      <c r="C13" s="56">
        <f t="shared" si="1"/>
        <v>50</v>
      </c>
      <c r="D13" s="144"/>
      <c r="E13" s="136"/>
    </row>
    <row r="14" spans="1:5" s="143" customFormat="1" ht="15">
      <c r="A14" s="438" t="s">
        <v>250</v>
      </c>
      <c r="B14" s="437" t="s">
        <v>311</v>
      </c>
      <c r="C14" s="56"/>
      <c r="D14" s="144"/>
      <c r="E14" s="136"/>
    </row>
    <row r="15" spans="1:5" s="143" customFormat="1" ht="15">
      <c r="A15" s="344" t="s">
        <v>217</v>
      </c>
      <c r="B15" s="452" t="s">
        <v>311</v>
      </c>
      <c r="C15" s="56"/>
      <c r="D15" s="144"/>
      <c r="E15" s="136"/>
    </row>
    <row r="16" spans="1:5" ht="15">
      <c r="A16" s="438" t="s">
        <v>251</v>
      </c>
      <c r="B16" s="437" t="s">
        <v>311</v>
      </c>
      <c r="C16" s="56"/>
    </row>
    <row r="17" spans="1:3" ht="15">
      <c r="A17" s="438" t="s">
        <v>252</v>
      </c>
      <c r="B17" s="437" t="s">
        <v>311</v>
      </c>
      <c r="C17" s="56"/>
    </row>
  </sheetData>
  <phoneticPr fontId="23" type="noConversion"/>
  <printOptions gridLines="1"/>
  <pageMargins left="0.75" right="0.75" top="1" bottom="1" header="0.5" footer="0.5"/>
  <pageSetup orientation="landscape" horizontalDpi="429496729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L24"/>
  <sheetViews>
    <sheetView workbookViewId="0"/>
  </sheetViews>
  <sheetFormatPr defaultColWidth="8.85546875" defaultRowHeight="12.75"/>
  <cols>
    <col min="1" max="1" width="36.42578125" customWidth="1"/>
    <col min="2" max="2" width="10" customWidth="1"/>
    <col min="3" max="3" width="10.28515625" customWidth="1"/>
    <col min="4" max="4" width="13.42578125" customWidth="1"/>
    <col min="5" max="5" width="10.140625" customWidth="1"/>
    <col min="6" max="6" width="10" customWidth="1"/>
    <col min="7" max="7" width="11" customWidth="1"/>
    <col min="8" max="8" width="48" customWidth="1"/>
    <col min="9" max="10" width="10" customWidth="1"/>
  </cols>
  <sheetData>
    <row r="1" spans="1:12" ht="18.75">
      <c r="A1" s="7" t="s">
        <v>233</v>
      </c>
      <c r="B1" s="6"/>
      <c r="C1" s="6"/>
      <c r="D1" s="6"/>
      <c r="E1" s="6"/>
      <c r="F1" s="6"/>
      <c r="G1" s="6"/>
      <c r="H1" s="6"/>
      <c r="I1" s="9"/>
      <c r="J1" s="6"/>
      <c r="K1" s="6"/>
      <c r="L1" s="6"/>
    </row>
    <row r="2" spans="1:12">
      <c r="A2" s="38"/>
      <c r="B2" s="6"/>
      <c r="D2" s="9" t="s">
        <v>35</v>
      </c>
      <c r="E2" s="69">
        <f>MAX(D6:D19)</f>
        <v>61.69</v>
      </c>
      <c r="F2" s="6" t="s">
        <v>16</v>
      </c>
      <c r="G2" s="6"/>
      <c r="H2" s="6"/>
      <c r="I2" s="9"/>
      <c r="J2" s="6"/>
      <c r="K2" s="6"/>
      <c r="L2" s="6"/>
    </row>
    <row r="3" spans="1:12">
      <c r="A3" s="213"/>
      <c r="B3" s="6"/>
      <c r="D3" s="9" t="s">
        <v>36</v>
      </c>
      <c r="E3" s="69">
        <f>MIN(D6:D19)</f>
        <v>52.61</v>
      </c>
      <c r="F3" s="6" t="s">
        <v>16</v>
      </c>
      <c r="G3" s="6"/>
      <c r="H3" s="6"/>
      <c r="I3" s="9"/>
      <c r="J3" s="6"/>
      <c r="K3" s="6"/>
      <c r="L3" s="6"/>
    </row>
    <row r="4" spans="1:12">
      <c r="A4" s="16"/>
      <c r="B4" s="16"/>
      <c r="C4" s="16"/>
      <c r="D4" s="16"/>
      <c r="E4" s="6"/>
      <c r="F4" s="16"/>
      <c r="G4" s="16"/>
      <c r="H4" s="16"/>
      <c r="I4" s="24"/>
      <c r="J4" s="6"/>
      <c r="K4" s="6"/>
      <c r="L4" s="6"/>
    </row>
    <row r="5" spans="1:12" ht="30.75" customHeight="1">
      <c r="A5" s="78"/>
      <c r="B5" s="39" t="s">
        <v>324</v>
      </c>
      <c r="C5" s="39" t="s">
        <v>325</v>
      </c>
      <c r="D5" s="39" t="s">
        <v>34</v>
      </c>
      <c r="E5" s="39" t="s">
        <v>9</v>
      </c>
      <c r="F5" s="23" t="s">
        <v>28</v>
      </c>
      <c r="G5" s="23"/>
      <c r="H5" s="121" t="s">
        <v>88</v>
      </c>
      <c r="I5" s="14"/>
      <c r="J5" s="13"/>
      <c r="K5" s="5"/>
      <c r="L5" s="6"/>
    </row>
    <row r="6" spans="1:12" ht="15">
      <c r="A6" s="337" t="s">
        <v>156</v>
      </c>
      <c r="B6" s="309">
        <v>59.32</v>
      </c>
      <c r="C6" s="198">
        <v>57.25</v>
      </c>
      <c r="D6" s="395">
        <f>MIN(B6:C6)</f>
        <v>57.25</v>
      </c>
      <c r="E6" s="58">
        <f>-$E$23*D6+$E$24</f>
        <v>36.674008810572673</v>
      </c>
      <c r="F6" s="135">
        <f>RANK(E6,$E$6:$E$19)</f>
        <v>7</v>
      </c>
      <c r="G6" s="52"/>
      <c r="H6" s="263"/>
      <c r="I6" s="26"/>
      <c r="J6" s="27"/>
      <c r="K6" s="18"/>
      <c r="L6" s="6"/>
    </row>
    <row r="7" spans="1:12" ht="15">
      <c r="A7" s="337" t="s">
        <v>195</v>
      </c>
      <c r="B7" s="413">
        <v>55.37</v>
      </c>
      <c r="C7" s="198">
        <v>71.19</v>
      </c>
      <c r="D7" s="395">
        <f t="shared" ref="D7:D15" si="0">MIN(B7:C7)</f>
        <v>55.37</v>
      </c>
      <c r="E7" s="58">
        <f t="shared" ref="E7:E13" si="1">-$E$23*D7+$E$24</f>
        <v>52.202643171806187</v>
      </c>
      <c r="F7" s="135">
        <f>RANK(E7,$E$6:$E$19)</f>
        <v>5</v>
      </c>
      <c r="G7" s="77"/>
      <c r="H7" s="415"/>
      <c r="I7" s="26"/>
      <c r="J7" s="27"/>
      <c r="K7" s="18"/>
      <c r="L7" s="6"/>
    </row>
    <row r="8" spans="1:12" ht="15">
      <c r="A8" s="337" t="s">
        <v>209</v>
      </c>
      <c r="B8" s="414">
        <v>55.88</v>
      </c>
      <c r="C8" s="198">
        <v>55.09</v>
      </c>
      <c r="D8" s="395">
        <f t="shared" si="0"/>
        <v>55.09</v>
      </c>
      <c r="E8" s="58">
        <f t="shared" si="1"/>
        <v>54.515418502202579</v>
      </c>
      <c r="F8" s="135">
        <f>RANK(E8,$E$6:$E$19)</f>
        <v>4</v>
      </c>
      <c r="G8" s="52"/>
      <c r="H8" s="331"/>
      <c r="I8" s="26"/>
      <c r="J8" s="27"/>
      <c r="K8" s="18"/>
      <c r="L8" s="6"/>
    </row>
    <row r="9" spans="1:12" s="214" customFormat="1" ht="15">
      <c r="A9" s="343" t="s">
        <v>197</v>
      </c>
      <c r="B9" s="414"/>
      <c r="C9" s="198"/>
      <c r="D9" s="395"/>
      <c r="E9" s="58"/>
      <c r="F9" s="135"/>
      <c r="G9" s="250"/>
      <c r="H9" s="331"/>
      <c r="I9" s="258"/>
      <c r="J9" s="212"/>
      <c r="K9" s="249"/>
      <c r="L9" s="219"/>
    </row>
    <row r="10" spans="1:12" s="214" customFormat="1" ht="15">
      <c r="A10" s="337" t="s">
        <v>204</v>
      </c>
      <c r="B10" s="413">
        <v>52.91</v>
      </c>
      <c r="C10" s="198">
        <v>52.61</v>
      </c>
      <c r="D10" s="395">
        <f t="shared" si="0"/>
        <v>52.61</v>
      </c>
      <c r="E10" s="58">
        <f t="shared" si="1"/>
        <v>75</v>
      </c>
      <c r="F10" s="135">
        <f t="shared" ref="F10:F15" si="2">RANK(E10,$E$6:$E$19)</f>
        <v>1</v>
      </c>
      <c r="G10" s="250"/>
      <c r="H10" s="331"/>
      <c r="I10" s="258"/>
      <c r="J10" s="212"/>
      <c r="K10" s="249"/>
      <c r="L10" s="219"/>
    </row>
    <row r="11" spans="1:12" ht="15">
      <c r="A11" s="344" t="s">
        <v>199</v>
      </c>
      <c r="B11" s="413">
        <v>56.15</v>
      </c>
      <c r="C11" s="198">
        <v>56.31</v>
      </c>
      <c r="D11" s="395">
        <f t="shared" si="0"/>
        <v>56.15</v>
      </c>
      <c r="E11" s="58">
        <f t="shared" si="1"/>
        <v>45.759911894273102</v>
      </c>
      <c r="F11" s="135">
        <f t="shared" si="2"/>
        <v>6</v>
      </c>
      <c r="G11" s="52"/>
      <c r="H11" s="331"/>
      <c r="I11" s="26"/>
      <c r="J11" s="27"/>
      <c r="K11" s="18"/>
      <c r="L11" s="6"/>
    </row>
    <row r="12" spans="1:12" ht="15">
      <c r="A12" s="343" t="s">
        <v>200</v>
      </c>
      <c r="B12" s="413">
        <v>56.5</v>
      </c>
      <c r="C12" s="198">
        <v>53.28</v>
      </c>
      <c r="D12" s="395">
        <f t="shared" si="0"/>
        <v>53.28</v>
      </c>
      <c r="E12" s="58">
        <f t="shared" si="1"/>
        <v>69.465859030837009</v>
      </c>
      <c r="F12" s="135">
        <f t="shared" si="2"/>
        <v>2</v>
      </c>
      <c r="G12" s="52"/>
      <c r="H12" s="331"/>
      <c r="I12" s="26"/>
      <c r="J12" s="27"/>
      <c r="K12" s="18"/>
      <c r="L12" s="6"/>
    </row>
    <row r="13" spans="1:12" ht="15">
      <c r="A13" s="344" t="s">
        <v>212</v>
      </c>
      <c r="B13" s="413">
        <v>56.53</v>
      </c>
      <c r="C13" s="198">
        <v>54.84</v>
      </c>
      <c r="D13" s="395">
        <f t="shared" si="0"/>
        <v>54.84</v>
      </c>
      <c r="E13" s="58">
        <f t="shared" si="1"/>
        <v>56.580396475770897</v>
      </c>
      <c r="F13" s="135">
        <f t="shared" si="2"/>
        <v>3</v>
      </c>
      <c r="G13" s="52"/>
      <c r="H13" s="415"/>
      <c r="I13" s="26"/>
      <c r="J13" s="27"/>
      <c r="K13" s="18"/>
      <c r="L13" s="6"/>
    </row>
    <row r="14" spans="1:12" ht="14.25" customHeight="1">
      <c r="A14" s="344" t="s">
        <v>214</v>
      </c>
      <c r="B14" s="413"/>
      <c r="C14" s="198"/>
      <c r="D14" s="395"/>
      <c r="E14" s="58"/>
      <c r="F14" s="135"/>
      <c r="G14" s="52"/>
      <c r="H14" s="415"/>
      <c r="I14" s="26"/>
      <c r="J14" s="27"/>
      <c r="K14" s="18"/>
      <c r="L14" s="6"/>
    </row>
    <row r="15" spans="1:12" ht="15">
      <c r="A15" s="344" t="s">
        <v>215</v>
      </c>
      <c r="B15" s="413">
        <v>62</v>
      </c>
      <c r="C15" s="198">
        <v>61.69</v>
      </c>
      <c r="D15" s="395">
        <f t="shared" si="0"/>
        <v>61.69</v>
      </c>
      <c r="E15" s="58">
        <v>2.5</v>
      </c>
      <c r="F15" s="135">
        <f t="shared" si="2"/>
        <v>8</v>
      </c>
      <c r="G15" s="52"/>
      <c r="H15" s="415"/>
      <c r="I15" s="26"/>
      <c r="J15" s="27"/>
      <c r="K15" s="18"/>
      <c r="L15" s="6"/>
    </row>
    <row r="16" spans="1:12" ht="15">
      <c r="A16" s="438" t="s">
        <v>250</v>
      </c>
      <c r="B16" s="413"/>
      <c r="C16" s="413"/>
      <c r="D16" s="198"/>
      <c r="E16" s="58"/>
      <c r="F16" s="135"/>
      <c r="G16" s="52"/>
      <c r="H16" s="415"/>
      <c r="I16" s="26"/>
      <c r="J16" s="27"/>
      <c r="K16" s="18"/>
      <c r="L16" s="6"/>
    </row>
    <row r="17" spans="1:12" s="143" customFormat="1" ht="15">
      <c r="A17" s="344" t="s">
        <v>217</v>
      </c>
      <c r="B17" s="413"/>
      <c r="C17" s="413"/>
      <c r="D17" s="198"/>
      <c r="E17" s="58"/>
      <c r="F17" s="135"/>
      <c r="G17" s="148"/>
      <c r="H17" s="331"/>
      <c r="I17" s="156"/>
      <c r="J17" s="157"/>
      <c r="K17" s="144"/>
      <c r="L17" s="136"/>
    </row>
    <row r="18" spans="1:12" ht="15">
      <c r="A18" s="438" t="s">
        <v>251</v>
      </c>
      <c r="B18" s="413"/>
      <c r="C18" s="413"/>
      <c r="D18" s="198"/>
      <c r="E18" s="58"/>
      <c r="F18" s="135"/>
      <c r="G18" s="6"/>
      <c r="H18" s="416"/>
      <c r="I18" s="6"/>
      <c r="J18" s="6"/>
      <c r="K18" s="6"/>
      <c r="L18" s="6"/>
    </row>
    <row r="19" spans="1:12" ht="15">
      <c r="A19" s="438" t="s">
        <v>252</v>
      </c>
      <c r="B19" s="431"/>
      <c r="C19" s="413"/>
      <c r="D19" s="198"/>
      <c r="E19" s="58"/>
      <c r="F19" s="135"/>
      <c r="H19" s="141"/>
    </row>
    <row r="20" spans="1:12">
      <c r="B20" s="139"/>
    </row>
    <row r="22" spans="1:12">
      <c r="D22" s="338" t="s">
        <v>150</v>
      </c>
      <c r="E22" s="338"/>
    </row>
    <row r="23" spans="1:12">
      <c r="D23" s="338" t="s">
        <v>147</v>
      </c>
      <c r="E23" s="352">
        <f>75/(E2-E3)</f>
        <v>8.2599118942731291</v>
      </c>
    </row>
    <row r="24" spans="1:12">
      <c r="D24" s="338" t="s">
        <v>148</v>
      </c>
      <c r="E24" s="274">
        <f>E23*E2</f>
        <v>509.55396475770931</v>
      </c>
    </row>
  </sheetData>
  <phoneticPr fontId="23" type="noConversion"/>
  <printOptions gridLines="1"/>
  <pageMargins left="0.75" right="0.75" top="1" bottom="1" header="0.5" footer="0.5"/>
  <pageSetup scale="82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30"/>
  <sheetViews>
    <sheetView zoomScaleNormal="100" zoomScalePageLayoutView="125" workbookViewId="0"/>
  </sheetViews>
  <sheetFormatPr defaultColWidth="8.85546875" defaultRowHeight="12.75"/>
  <cols>
    <col min="1" max="1" width="36.28515625" customWidth="1"/>
    <col min="2" max="2" width="12.42578125" customWidth="1"/>
    <col min="3" max="3" width="12.7109375" style="3" customWidth="1"/>
    <col min="4" max="4" width="12.28515625" customWidth="1"/>
    <col min="5" max="5" width="14" customWidth="1"/>
    <col min="6" max="6" width="10.7109375" customWidth="1"/>
    <col min="7" max="7" width="9.85546875" customWidth="1"/>
    <col min="8" max="8" width="15.7109375" style="172" customWidth="1"/>
    <col min="9" max="9" width="13.42578125" customWidth="1"/>
    <col min="10" max="10" width="5.42578125" style="172" bestFit="1" customWidth="1"/>
    <col min="11" max="11" width="19.42578125" customWidth="1"/>
  </cols>
  <sheetData>
    <row r="1" spans="1:13" ht="18.75">
      <c r="A1" s="7" t="s">
        <v>317</v>
      </c>
      <c r="B1" s="7"/>
      <c r="C1" s="18"/>
      <c r="D1" s="6"/>
      <c r="E1" s="6"/>
      <c r="F1" s="6"/>
      <c r="G1" s="6"/>
      <c r="H1" s="264"/>
      <c r="I1" s="6"/>
      <c r="J1" s="264"/>
      <c r="K1" s="6"/>
    </row>
    <row r="2" spans="1:13">
      <c r="A2" s="24"/>
      <c r="B2" s="24"/>
      <c r="C2" s="52"/>
      <c r="D2" s="24"/>
      <c r="E2" s="24"/>
      <c r="F2" s="24"/>
      <c r="G2" s="24"/>
      <c r="H2" s="281"/>
      <c r="I2" s="24"/>
      <c r="J2" s="264"/>
      <c r="K2" s="6"/>
    </row>
    <row r="3" spans="1:13" s="161" customFormat="1" ht="38.25">
      <c r="A3" s="160"/>
      <c r="B3" s="39" t="s">
        <v>41</v>
      </c>
      <c r="C3" s="39" t="s">
        <v>7</v>
      </c>
      <c r="D3" s="39" t="s">
        <v>63</v>
      </c>
      <c r="E3" s="39" t="s">
        <v>55</v>
      </c>
      <c r="F3" s="39" t="s">
        <v>89</v>
      </c>
      <c r="G3" s="39" t="s">
        <v>8</v>
      </c>
      <c r="H3" s="244" t="s">
        <v>64</v>
      </c>
      <c r="I3" s="39" t="s">
        <v>65</v>
      </c>
      <c r="J3" s="36" t="s">
        <v>62</v>
      </c>
      <c r="K3" s="39" t="s">
        <v>51</v>
      </c>
    </row>
    <row r="4" spans="1:13" s="426" customFormat="1" ht="15">
      <c r="A4" s="344" t="s">
        <v>156</v>
      </c>
      <c r="B4" s="313"/>
      <c r="C4" s="313"/>
      <c r="D4" s="313"/>
      <c r="E4" s="313"/>
      <c r="F4" s="313"/>
      <c r="G4" s="313"/>
      <c r="H4" s="313">
        <v>100</v>
      </c>
      <c r="I4" s="422"/>
      <c r="J4" s="423">
        <f t="shared" ref="J4:J17" si="0">SUM(B4:I4)</f>
        <v>100</v>
      </c>
      <c r="K4" s="424"/>
    </row>
    <row r="5" spans="1:13" s="426" customFormat="1" ht="15">
      <c r="A5" s="344" t="s">
        <v>210</v>
      </c>
      <c r="B5" s="313">
        <v>-10</v>
      </c>
      <c r="C5" s="313"/>
      <c r="D5" s="313"/>
      <c r="E5" s="313"/>
      <c r="F5" s="313">
        <v>-30</v>
      </c>
      <c r="G5" s="313"/>
      <c r="H5" s="313">
        <v>0</v>
      </c>
      <c r="I5" s="313"/>
      <c r="J5" s="423">
        <f t="shared" si="0"/>
        <v>-40</v>
      </c>
      <c r="K5" s="424" t="s">
        <v>318</v>
      </c>
    </row>
    <row r="6" spans="1:13" s="426" customFormat="1" ht="15">
      <c r="A6" s="344" t="s">
        <v>196</v>
      </c>
      <c r="B6" s="313"/>
      <c r="C6" s="313"/>
      <c r="D6" s="313">
        <v>-10</v>
      </c>
      <c r="E6" s="313"/>
      <c r="F6" s="313"/>
      <c r="G6" s="313"/>
      <c r="H6" s="313">
        <v>0</v>
      </c>
      <c r="I6" s="422"/>
      <c r="J6" s="423">
        <f t="shared" si="0"/>
        <v>-10</v>
      </c>
      <c r="K6" s="424"/>
    </row>
    <row r="7" spans="1:13" s="425" customFormat="1" ht="15">
      <c r="A7" s="421" t="s">
        <v>197</v>
      </c>
      <c r="B7" s="313"/>
      <c r="C7" s="313"/>
      <c r="D7" s="313"/>
      <c r="E7" s="313"/>
      <c r="F7" s="313"/>
      <c r="G7" s="313"/>
      <c r="H7" s="313">
        <v>0</v>
      </c>
      <c r="I7" s="422"/>
      <c r="J7" s="423">
        <f t="shared" si="0"/>
        <v>0</v>
      </c>
      <c r="K7" s="429"/>
    </row>
    <row r="8" spans="1:13" s="425" customFormat="1" ht="15">
      <c r="A8" s="344" t="s">
        <v>204</v>
      </c>
      <c r="B8" s="313"/>
      <c r="C8" s="313"/>
      <c r="D8" s="313"/>
      <c r="E8" s="313"/>
      <c r="F8" s="313"/>
      <c r="G8" s="313"/>
      <c r="H8" s="313">
        <v>100</v>
      </c>
      <c r="I8" s="313"/>
      <c r="J8" s="423">
        <f t="shared" si="0"/>
        <v>100</v>
      </c>
      <c r="K8" s="424"/>
      <c r="M8" s="426"/>
    </row>
    <row r="9" spans="1:13" s="426" customFormat="1" ht="15">
      <c r="A9" s="344" t="s">
        <v>199</v>
      </c>
      <c r="B9" s="313"/>
      <c r="C9" s="313"/>
      <c r="D9" s="313"/>
      <c r="E9" s="313"/>
      <c r="F9" s="313"/>
      <c r="G9" s="313"/>
      <c r="H9" s="313">
        <v>100</v>
      </c>
      <c r="I9" s="422"/>
      <c r="J9" s="423">
        <f t="shared" si="0"/>
        <v>100</v>
      </c>
      <c r="K9" s="424"/>
    </row>
    <row r="10" spans="1:13" s="426" customFormat="1" ht="15">
      <c r="A10" s="421" t="s">
        <v>200</v>
      </c>
      <c r="B10" s="313"/>
      <c r="C10" s="313" t="s">
        <v>46</v>
      </c>
      <c r="D10" s="313"/>
      <c r="E10" s="313"/>
      <c r="F10" s="313"/>
      <c r="G10" s="313"/>
      <c r="H10" s="313">
        <v>100</v>
      </c>
      <c r="I10" s="422"/>
      <c r="J10" s="423">
        <f t="shared" si="0"/>
        <v>100</v>
      </c>
      <c r="K10" s="424"/>
    </row>
    <row r="11" spans="1:13" s="426" customFormat="1" ht="15">
      <c r="A11" s="344" t="s">
        <v>212</v>
      </c>
      <c r="B11" s="313"/>
      <c r="C11" s="313"/>
      <c r="D11" s="313"/>
      <c r="E11" s="313"/>
      <c r="F11" s="313">
        <v>-40</v>
      </c>
      <c r="G11" s="313"/>
      <c r="H11" s="313">
        <v>100</v>
      </c>
      <c r="I11" s="422"/>
      <c r="J11" s="423">
        <f t="shared" si="0"/>
        <v>60</v>
      </c>
      <c r="K11" s="424" t="s">
        <v>320</v>
      </c>
    </row>
    <row r="12" spans="1:13" s="426" customFormat="1" ht="15">
      <c r="A12" s="344" t="s">
        <v>214</v>
      </c>
      <c r="B12" s="313"/>
      <c r="C12" s="313"/>
      <c r="D12" s="313"/>
      <c r="E12" s="313"/>
      <c r="F12" s="313"/>
      <c r="G12" s="313"/>
      <c r="H12" s="313">
        <v>0</v>
      </c>
      <c r="I12" s="422"/>
      <c r="J12" s="423">
        <f t="shared" si="0"/>
        <v>0</v>
      </c>
      <c r="K12" s="424"/>
    </row>
    <row r="13" spans="1:13" s="426" customFormat="1" ht="15">
      <c r="A13" s="344" t="s">
        <v>215</v>
      </c>
      <c r="B13" s="313"/>
      <c r="C13" s="313"/>
      <c r="D13" s="313"/>
      <c r="E13" s="313"/>
      <c r="F13" s="313">
        <v>-40</v>
      </c>
      <c r="G13" s="313"/>
      <c r="H13" s="313">
        <v>0</v>
      </c>
      <c r="I13" s="422"/>
      <c r="J13" s="423">
        <f t="shared" si="0"/>
        <v>-40</v>
      </c>
      <c r="K13" s="424" t="s">
        <v>319</v>
      </c>
    </row>
    <row r="14" spans="1:13" s="426" customFormat="1" ht="15">
      <c r="A14" s="438" t="s">
        <v>250</v>
      </c>
      <c r="B14" s="313"/>
      <c r="C14" s="313"/>
      <c r="D14" s="313"/>
      <c r="E14" s="313"/>
      <c r="F14" s="313"/>
      <c r="G14" s="313"/>
      <c r="H14" s="313"/>
      <c r="I14" s="422"/>
      <c r="J14" s="423">
        <f t="shared" si="0"/>
        <v>0</v>
      </c>
      <c r="K14" s="424"/>
    </row>
    <row r="15" spans="1:13" s="427" customFormat="1" ht="15">
      <c r="A15" s="344" t="s">
        <v>217</v>
      </c>
      <c r="B15" s="313"/>
      <c r="C15" s="313" t="s">
        <v>46</v>
      </c>
      <c r="D15" s="313"/>
      <c r="E15" s="313"/>
      <c r="F15" s="313"/>
      <c r="G15" s="313"/>
      <c r="H15" s="313">
        <v>0</v>
      </c>
      <c r="I15" s="422"/>
      <c r="J15" s="423">
        <f t="shared" si="0"/>
        <v>0</v>
      </c>
      <c r="K15" s="424"/>
    </row>
    <row r="16" spans="1:13" s="426" customFormat="1" ht="15">
      <c r="A16" s="438" t="s">
        <v>251</v>
      </c>
      <c r="B16" s="313"/>
      <c r="C16" s="417"/>
      <c r="D16" s="313" t="s">
        <v>46</v>
      </c>
      <c r="E16" s="313"/>
      <c r="F16" s="313"/>
      <c r="G16" s="313"/>
      <c r="H16" s="313"/>
      <c r="I16" s="422"/>
      <c r="J16" s="423">
        <f t="shared" si="0"/>
        <v>0</v>
      </c>
      <c r="K16" s="428"/>
    </row>
    <row r="17" spans="1:11" s="426" customFormat="1" ht="15">
      <c r="A17" s="438" t="s">
        <v>252</v>
      </c>
      <c r="B17" s="313"/>
      <c r="C17" s="313"/>
      <c r="D17" s="313" t="s">
        <v>46</v>
      </c>
      <c r="E17" s="313"/>
      <c r="F17" s="313"/>
      <c r="G17" s="313"/>
      <c r="H17" s="313"/>
      <c r="I17" s="422"/>
      <c r="J17" s="423">
        <f t="shared" si="0"/>
        <v>0</v>
      </c>
      <c r="K17" s="428"/>
    </row>
    <row r="18" spans="1:11" ht="15">
      <c r="A18" s="22"/>
      <c r="B18" s="22"/>
      <c r="C18" s="306"/>
      <c r="D18" s="49"/>
      <c r="E18" s="49"/>
      <c r="F18" s="40"/>
      <c r="G18" s="52"/>
      <c r="H18" s="278"/>
      <c r="I18" s="29"/>
      <c r="J18" s="264"/>
      <c r="K18" s="6"/>
    </row>
    <row r="19" spans="1:11" ht="15">
      <c r="A19" s="22"/>
      <c r="B19" s="22"/>
      <c r="C19" s="306"/>
      <c r="D19" s="49"/>
      <c r="E19" s="49"/>
      <c r="F19" s="40"/>
      <c r="G19" s="263"/>
      <c r="H19" s="278"/>
      <c r="I19" s="29"/>
      <c r="J19" s="264"/>
      <c r="K19" s="6"/>
    </row>
    <row r="20" spans="1:11" ht="15">
      <c r="A20" s="22"/>
      <c r="B20" s="22"/>
      <c r="C20" s="306"/>
      <c r="D20" s="49"/>
      <c r="E20" s="49"/>
      <c r="F20" s="40"/>
      <c r="G20" s="52"/>
      <c r="H20" s="278"/>
      <c r="I20" s="29"/>
      <c r="J20" s="264"/>
      <c r="K20" s="6"/>
    </row>
    <row r="21" spans="1:11" ht="15">
      <c r="A21" s="22"/>
      <c r="B21" s="22"/>
      <c r="C21" s="306"/>
      <c r="D21" s="49"/>
      <c r="E21" s="49"/>
      <c r="F21" s="40"/>
      <c r="G21" s="52"/>
      <c r="H21" s="278"/>
      <c r="I21" s="29"/>
      <c r="J21" s="264"/>
      <c r="K21" s="6"/>
    </row>
    <row r="22" spans="1:11" ht="15">
      <c r="A22" s="22"/>
      <c r="B22" s="22"/>
      <c r="C22" s="306"/>
      <c r="D22" s="49"/>
      <c r="E22" s="49"/>
      <c r="F22" s="40"/>
      <c r="G22" s="52"/>
      <c r="H22" s="278"/>
      <c r="I22" s="29"/>
      <c r="J22" s="264"/>
      <c r="K22" s="6"/>
    </row>
    <row r="23" spans="1:11" ht="15">
      <c r="A23" s="22"/>
      <c r="B23" s="22"/>
      <c r="C23" s="306"/>
      <c r="D23" s="49"/>
      <c r="E23" s="49"/>
      <c r="F23" s="40"/>
      <c r="G23" s="52"/>
      <c r="H23" s="278"/>
      <c r="I23" s="29"/>
      <c r="J23" s="264"/>
      <c r="K23" s="6"/>
    </row>
    <row r="24" spans="1:11" ht="15">
      <c r="A24" s="22"/>
      <c r="B24" s="22"/>
      <c r="C24" s="306"/>
      <c r="D24" s="49"/>
      <c r="E24" s="49"/>
      <c r="F24" s="40"/>
      <c r="G24" s="52"/>
      <c r="H24" s="278"/>
      <c r="I24" s="29"/>
      <c r="J24" s="264"/>
      <c r="K24" s="6"/>
    </row>
    <row r="25" spans="1:11">
      <c r="A25" s="22"/>
      <c r="B25" s="22"/>
      <c r="C25" s="306"/>
      <c r="D25" s="49"/>
      <c r="E25" s="49"/>
      <c r="F25" s="40"/>
      <c r="G25" s="52"/>
      <c r="H25" s="278"/>
      <c r="I25" s="24"/>
      <c r="J25" s="264"/>
      <c r="K25" s="6"/>
    </row>
    <row r="26" spans="1:11" ht="15">
      <c r="A26" s="22"/>
      <c r="B26" s="22"/>
      <c r="C26" s="306"/>
      <c r="D26" s="49"/>
      <c r="E26" s="49"/>
      <c r="F26" s="40"/>
      <c r="G26" s="52"/>
      <c r="H26" s="278"/>
      <c r="I26" s="29"/>
      <c r="J26" s="264"/>
      <c r="K26" s="6"/>
    </row>
    <row r="27" spans="1:11">
      <c r="A27" s="22"/>
      <c r="B27" s="22"/>
      <c r="C27" s="307"/>
      <c r="D27" s="50"/>
      <c r="E27" s="50"/>
      <c r="F27" s="40"/>
      <c r="G27" s="52"/>
      <c r="H27" s="278"/>
      <c r="I27" s="1"/>
    </row>
    <row r="28" spans="1:11">
      <c r="A28" s="1"/>
      <c r="B28" s="1"/>
      <c r="C28" s="61"/>
      <c r="D28" s="1"/>
      <c r="E28" s="1"/>
      <c r="F28" s="24"/>
      <c r="G28" s="1"/>
      <c r="H28" s="282"/>
      <c r="I28" s="1"/>
    </row>
    <row r="29" spans="1:11">
      <c r="A29" s="1"/>
      <c r="B29" s="1"/>
      <c r="C29" s="61"/>
      <c r="D29" s="1"/>
      <c r="E29" s="1"/>
      <c r="F29" s="1"/>
      <c r="G29" s="1"/>
      <c r="H29" s="282"/>
      <c r="I29" s="1"/>
    </row>
    <row r="30" spans="1:11">
      <c r="A30" s="1"/>
      <c r="B30" s="1"/>
      <c r="C30" s="61"/>
      <c r="D30" s="1"/>
      <c r="E30" s="1"/>
      <c r="F30" s="1"/>
      <c r="G30" s="1"/>
      <c r="H30" s="282"/>
      <c r="I30" s="1"/>
    </row>
  </sheetData>
  <phoneticPr fontId="23" type="noConversion"/>
  <printOptions gridLines="1"/>
  <pageMargins left="0.75" right="0.75" top="1" bottom="1" header="0.5" footer="0.5"/>
  <pageSetup scale="62" orientation="landscape" horizontalDpi="4294967294" verticalDpi="20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A1:U28"/>
  <sheetViews>
    <sheetView workbookViewId="0"/>
  </sheetViews>
  <sheetFormatPr defaultColWidth="8.85546875" defaultRowHeight="12.75"/>
  <cols>
    <col min="1" max="1" width="33.42578125" customWidth="1"/>
    <col min="2" max="5" width="10.28515625" customWidth="1"/>
    <col min="7" max="7" width="10.42578125" customWidth="1"/>
    <col min="9" max="9" width="10.140625" customWidth="1"/>
  </cols>
  <sheetData>
    <row r="1" spans="1:21" ht="18.75">
      <c r="A1" s="45" t="s">
        <v>234</v>
      </c>
      <c r="B1" s="31"/>
      <c r="C1" s="31"/>
      <c r="D1" s="31"/>
      <c r="E1" s="31" t="s">
        <v>60</v>
      </c>
      <c r="F1" s="32">
        <f>MAX(E4:E17)</f>
        <v>754</v>
      </c>
      <c r="G1" s="31" t="s">
        <v>61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>
      <c r="A2" s="214" t="s">
        <v>129</v>
      </c>
      <c r="B2" s="31"/>
      <c r="C2" s="31"/>
      <c r="D2" s="31"/>
      <c r="E2" s="31" t="s">
        <v>59</v>
      </c>
      <c r="F2" s="32">
        <f>MIN(E4:E116)</f>
        <v>554</v>
      </c>
      <c r="G2" s="31" t="s">
        <v>61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>
      <c r="B3" s="131" t="s">
        <v>56</v>
      </c>
      <c r="C3" s="131" t="s">
        <v>57</v>
      </c>
      <c r="D3" s="131" t="s">
        <v>58</v>
      </c>
      <c r="E3" s="44" t="s">
        <v>25</v>
      </c>
      <c r="G3" s="39"/>
      <c r="H3" s="2" t="s">
        <v>28</v>
      </c>
    </row>
    <row r="4" spans="1:21" ht="15">
      <c r="A4" s="337" t="s">
        <v>156</v>
      </c>
      <c r="B4" s="290">
        <v>136</v>
      </c>
      <c r="C4" s="290">
        <v>159</v>
      </c>
      <c r="D4" s="290">
        <v>271</v>
      </c>
      <c r="E4" s="247">
        <f>+B4+C4+D4</f>
        <v>566</v>
      </c>
      <c r="F4" s="146"/>
      <c r="G4" s="17"/>
      <c r="H4" s="17">
        <f>RANK($E4,$E$4:$E$17)</f>
        <v>9</v>
      </c>
    </row>
    <row r="5" spans="1:21" ht="15">
      <c r="A5" s="337" t="s">
        <v>195</v>
      </c>
      <c r="B5" s="290">
        <v>145</v>
      </c>
      <c r="C5" s="290">
        <v>143</v>
      </c>
      <c r="D5" s="290">
        <v>266</v>
      </c>
      <c r="E5" s="247">
        <f t="shared" ref="E5:E13" si="0">+B5+C5+D5</f>
        <v>554</v>
      </c>
      <c r="F5" s="146"/>
      <c r="G5" s="17"/>
      <c r="H5" s="17">
        <f t="shared" ref="H5:H13" si="1">RANK($E5,$E$4:$E$17)</f>
        <v>10</v>
      </c>
      <c r="I5" s="470" t="s">
        <v>333</v>
      </c>
    </row>
    <row r="6" spans="1:21" ht="15">
      <c r="A6" s="337" t="s">
        <v>196</v>
      </c>
      <c r="B6" s="290">
        <v>151</v>
      </c>
      <c r="C6" s="290">
        <v>151</v>
      </c>
      <c r="D6" s="290">
        <v>306</v>
      </c>
      <c r="E6" s="247">
        <f t="shared" si="0"/>
        <v>608</v>
      </c>
      <c r="F6" s="146"/>
      <c r="G6" s="17"/>
      <c r="H6" s="17">
        <f t="shared" si="1"/>
        <v>5</v>
      </c>
    </row>
    <row r="7" spans="1:21" s="248" customFormat="1" ht="15">
      <c r="A7" s="343" t="s">
        <v>197</v>
      </c>
      <c r="B7" s="290">
        <v>203</v>
      </c>
      <c r="C7" s="290">
        <v>195</v>
      </c>
      <c r="D7" s="290">
        <v>356</v>
      </c>
      <c r="E7" s="247">
        <f t="shared" si="0"/>
        <v>754</v>
      </c>
      <c r="F7" s="214"/>
      <c r="G7" s="243"/>
      <c r="H7" s="17">
        <f t="shared" si="1"/>
        <v>1</v>
      </c>
      <c r="I7" s="470" t="s">
        <v>332</v>
      </c>
    </row>
    <row r="8" spans="1:21" s="248" customFormat="1" ht="15">
      <c r="A8" s="337" t="s">
        <v>204</v>
      </c>
      <c r="B8" s="290">
        <v>154</v>
      </c>
      <c r="C8" s="290">
        <v>165</v>
      </c>
      <c r="D8" s="290">
        <v>310</v>
      </c>
      <c r="E8" s="247">
        <f t="shared" si="0"/>
        <v>629</v>
      </c>
      <c r="F8" s="214"/>
      <c r="G8" s="243"/>
      <c r="H8" s="17">
        <f t="shared" si="1"/>
        <v>3</v>
      </c>
    </row>
    <row r="9" spans="1:21" s="31" customFormat="1" ht="15">
      <c r="A9" s="344" t="s">
        <v>199</v>
      </c>
      <c r="B9" s="290">
        <v>150</v>
      </c>
      <c r="C9" s="290">
        <v>169</v>
      </c>
      <c r="D9" s="290">
        <v>278</v>
      </c>
      <c r="E9" s="247">
        <f t="shared" si="0"/>
        <v>597</v>
      </c>
      <c r="F9" s="193" t="s">
        <v>46</v>
      </c>
      <c r="G9" s="17"/>
      <c r="H9" s="17">
        <f t="shared" si="1"/>
        <v>6</v>
      </c>
    </row>
    <row r="10" spans="1:21" ht="15">
      <c r="A10" s="343" t="s">
        <v>200</v>
      </c>
      <c r="B10" s="290">
        <v>156</v>
      </c>
      <c r="C10" s="290">
        <v>161</v>
      </c>
      <c r="D10" s="290">
        <v>280</v>
      </c>
      <c r="E10" s="247">
        <f t="shared" si="0"/>
        <v>597</v>
      </c>
      <c r="F10" s="146"/>
      <c r="G10" s="17"/>
      <c r="H10" s="17">
        <f t="shared" si="1"/>
        <v>6</v>
      </c>
    </row>
    <row r="11" spans="1:21" ht="15">
      <c r="A11" s="344" t="s">
        <v>212</v>
      </c>
      <c r="B11" s="290">
        <v>152</v>
      </c>
      <c r="C11" s="290">
        <v>163</v>
      </c>
      <c r="D11" s="290">
        <v>274</v>
      </c>
      <c r="E11" s="247">
        <f t="shared" si="0"/>
        <v>589</v>
      </c>
      <c r="F11" s="146"/>
      <c r="G11" s="17"/>
      <c r="H11" s="17">
        <f t="shared" si="1"/>
        <v>8</v>
      </c>
    </row>
    <row r="12" spans="1:21" ht="15">
      <c r="A12" s="344" t="s">
        <v>214</v>
      </c>
      <c r="B12" s="290">
        <v>173</v>
      </c>
      <c r="C12" s="290">
        <v>173</v>
      </c>
      <c r="D12" s="290">
        <v>273</v>
      </c>
      <c r="E12" s="247">
        <f t="shared" si="0"/>
        <v>619</v>
      </c>
      <c r="F12" s="140"/>
      <c r="G12" s="17"/>
      <c r="H12" s="17">
        <f t="shared" si="1"/>
        <v>4</v>
      </c>
    </row>
    <row r="13" spans="1:21" ht="15">
      <c r="A13" s="344" t="s">
        <v>215</v>
      </c>
      <c r="B13" s="382">
        <v>166</v>
      </c>
      <c r="C13" s="382">
        <v>175</v>
      </c>
      <c r="D13" s="382">
        <v>320</v>
      </c>
      <c r="E13" s="247">
        <f t="shared" si="0"/>
        <v>661</v>
      </c>
      <c r="F13" s="146" t="s">
        <v>46</v>
      </c>
      <c r="G13" s="17"/>
      <c r="H13" s="17">
        <f t="shared" si="1"/>
        <v>2</v>
      </c>
    </row>
    <row r="14" spans="1:21" ht="15">
      <c r="A14" s="438" t="s">
        <v>237</v>
      </c>
      <c r="B14" s="382"/>
      <c r="C14" s="382"/>
      <c r="D14" s="382"/>
      <c r="E14" s="247"/>
      <c r="F14" s="146"/>
      <c r="G14" s="17"/>
      <c r="H14" s="17"/>
    </row>
    <row r="15" spans="1:21" ht="30">
      <c r="A15" s="344" t="s">
        <v>254</v>
      </c>
      <c r="B15" s="382"/>
      <c r="C15" s="382"/>
      <c r="D15" s="382"/>
      <c r="E15" s="247"/>
      <c r="F15" s="146"/>
      <c r="G15" s="17"/>
      <c r="H15" s="17"/>
    </row>
    <row r="16" spans="1:21" ht="15">
      <c r="A16" s="438" t="s">
        <v>239</v>
      </c>
      <c r="B16" s="382"/>
      <c r="C16" s="382"/>
      <c r="D16" s="382"/>
      <c r="E16" s="247"/>
      <c r="F16" s="146"/>
      <c r="G16" s="17"/>
      <c r="H16" s="17"/>
    </row>
    <row r="17" spans="1:8" ht="30">
      <c r="A17" s="438" t="s">
        <v>238</v>
      </c>
      <c r="B17" s="290"/>
      <c r="C17" s="290"/>
      <c r="D17" s="290"/>
      <c r="E17" s="247"/>
      <c r="F17" s="146"/>
      <c r="G17" s="17"/>
      <c r="H17" s="17"/>
    </row>
    <row r="18" spans="1:8">
      <c r="E18" s="62"/>
    </row>
    <row r="19" spans="1:8">
      <c r="E19" s="62"/>
    </row>
    <row r="20" spans="1:8">
      <c r="E20" s="62"/>
    </row>
    <row r="21" spans="1:8">
      <c r="E21" s="62"/>
    </row>
    <row r="22" spans="1:8">
      <c r="E22" s="62"/>
    </row>
    <row r="23" spans="1:8">
      <c r="E23" s="62"/>
    </row>
    <row r="24" spans="1:8">
      <c r="E24" s="62"/>
    </row>
    <row r="25" spans="1:8">
      <c r="E25" s="62"/>
    </row>
    <row r="26" spans="1:8">
      <c r="E26" s="62"/>
    </row>
    <row r="27" spans="1:8">
      <c r="E27" s="62"/>
    </row>
    <row r="28" spans="1:8">
      <c r="E28" s="62"/>
    </row>
  </sheetData>
  <phoneticPr fontId="23" type="noConversion"/>
  <printOptions gridLines="1"/>
  <pageMargins left="0.75" right="0.75" top="1" bottom="1" header="0.5" footer="0.5"/>
  <pageSetup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U71"/>
  <sheetViews>
    <sheetView zoomScale="85" zoomScaleNormal="85" zoomScalePageLayoutView="85" workbookViewId="0">
      <pane ySplit="2" topLeftCell="A46" activePane="bottomLeft" state="frozen"/>
      <selection pane="bottomLeft"/>
    </sheetView>
  </sheetViews>
  <sheetFormatPr defaultColWidth="9.140625" defaultRowHeight="12.75"/>
  <cols>
    <col min="1" max="1" width="17.42578125" style="168" customWidth="1"/>
    <col min="2" max="2" width="8.7109375" style="67" customWidth="1"/>
    <col min="3" max="5" width="10.7109375" style="168" customWidth="1"/>
    <col min="6" max="6" width="10.7109375" style="277" customWidth="1"/>
    <col min="7" max="7" width="10.7109375" style="169" customWidth="1"/>
    <col min="8" max="8" width="10.7109375" style="246" customWidth="1"/>
    <col min="9" max="10" width="10.7109375" style="168" customWidth="1"/>
    <col min="11" max="11" width="10.7109375" style="194" customWidth="1"/>
    <col min="12" max="12" width="10.7109375" style="168" customWidth="1"/>
    <col min="13" max="15" width="10.7109375" style="187" customWidth="1"/>
    <col min="16" max="16" width="10.7109375" style="168" customWidth="1"/>
    <col min="17" max="17" width="7.42578125" style="186" customWidth="1"/>
    <col min="18" max="18" width="3" style="186" customWidth="1"/>
    <col min="19" max="19" width="2.7109375" style="67" customWidth="1"/>
    <col min="20" max="16384" width="9.140625" style="67"/>
  </cols>
  <sheetData>
    <row r="1" spans="1:20" ht="18.75">
      <c r="A1" s="360" t="s">
        <v>224</v>
      </c>
    </row>
    <row r="2" spans="1:20" ht="60">
      <c r="A2" s="333" t="s">
        <v>153</v>
      </c>
      <c r="B2" s="333"/>
      <c r="C2" s="334" t="s">
        <v>152</v>
      </c>
      <c r="D2" s="334" t="s">
        <v>188</v>
      </c>
      <c r="E2" s="334" t="s">
        <v>189</v>
      </c>
      <c r="F2" s="335" t="s">
        <v>190</v>
      </c>
      <c r="G2" s="334" t="s">
        <v>191</v>
      </c>
      <c r="H2" s="336" t="s">
        <v>192</v>
      </c>
      <c r="I2" s="335" t="s">
        <v>193</v>
      </c>
      <c r="J2" s="336" t="s">
        <v>226</v>
      </c>
      <c r="K2" s="336" t="s">
        <v>219</v>
      </c>
      <c r="L2" s="336" t="s">
        <v>220</v>
      </c>
      <c r="M2" s="444" t="s">
        <v>216</v>
      </c>
      <c r="N2" s="336" t="s">
        <v>217</v>
      </c>
      <c r="O2" s="444" t="s">
        <v>221</v>
      </c>
      <c r="P2" s="444" t="s">
        <v>218</v>
      </c>
      <c r="Q2" s="260"/>
      <c r="R2" s="260"/>
      <c r="S2" s="172"/>
      <c r="T2" s="172"/>
    </row>
    <row r="3" spans="1:20" s="374" customFormat="1">
      <c r="A3" s="375">
        <v>1</v>
      </c>
      <c r="B3" s="375" t="s">
        <v>240</v>
      </c>
      <c r="C3" s="376"/>
      <c r="D3" s="376"/>
      <c r="E3" s="376"/>
      <c r="F3" s="376"/>
      <c r="G3" s="376"/>
      <c r="H3" s="376">
        <v>65.25</v>
      </c>
      <c r="I3" s="376">
        <v>91</v>
      </c>
      <c r="J3" s="376">
        <v>64.75</v>
      </c>
      <c r="K3" s="376">
        <v>28.5</v>
      </c>
      <c r="L3" s="376">
        <v>72</v>
      </c>
      <c r="M3" s="439"/>
      <c r="N3" s="376"/>
      <c r="O3" s="376"/>
      <c r="P3" s="376">
        <v>66</v>
      </c>
      <c r="Q3" s="373">
        <f t="shared" ref="Q3:Q34" si="0">COUNTA(C3:P3)</f>
        <v>6</v>
      </c>
      <c r="R3" s="373"/>
    </row>
    <row r="4" spans="1:20">
      <c r="A4" s="376">
        <f>A3+1</f>
        <v>2</v>
      </c>
      <c r="B4" s="376" t="s">
        <v>241</v>
      </c>
      <c r="C4" s="376"/>
      <c r="D4" s="376"/>
      <c r="E4" s="376"/>
      <c r="F4" s="376"/>
      <c r="G4" s="376"/>
      <c r="H4" s="376"/>
      <c r="I4" s="376"/>
      <c r="J4" s="376">
        <v>83</v>
      </c>
      <c r="K4" s="376">
        <v>69</v>
      </c>
      <c r="L4" s="376">
        <v>85</v>
      </c>
      <c r="M4" s="439"/>
      <c r="N4" s="376"/>
      <c r="O4" s="376"/>
      <c r="P4" s="376"/>
      <c r="Q4" s="373">
        <f t="shared" si="0"/>
        <v>3</v>
      </c>
      <c r="R4" s="260"/>
      <c r="S4" s="172"/>
      <c r="T4" s="172"/>
    </row>
    <row r="5" spans="1:20">
      <c r="A5" s="376">
        <f t="shared" ref="A5:A58" si="1">A4+1</f>
        <v>3</v>
      </c>
      <c r="B5" s="376" t="s">
        <v>242</v>
      </c>
      <c r="C5" s="376">
        <v>72</v>
      </c>
      <c r="D5" s="376">
        <v>71</v>
      </c>
      <c r="E5" s="376"/>
      <c r="F5" s="376"/>
      <c r="G5" s="376"/>
      <c r="H5" s="376"/>
      <c r="I5" s="376"/>
      <c r="J5" s="376"/>
      <c r="K5" s="376"/>
      <c r="L5" s="376"/>
      <c r="M5" s="376"/>
      <c r="N5" s="376">
        <v>84</v>
      </c>
      <c r="O5" s="376"/>
      <c r="P5" s="376">
        <v>79</v>
      </c>
      <c r="Q5" s="373">
        <f t="shared" si="0"/>
        <v>4</v>
      </c>
    </row>
    <row r="6" spans="1:20">
      <c r="A6" s="376">
        <f t="shared" si="1"/>
        <v>4</v>
      </c>
      <c r="B6" s="376" t="s">
        <v>243</v>
      </c>
      <c r="C6" s="376"/>
      <c r="D6" s="376"/>
      <c r="E6" s="376"/>
      <c r="F6" s="376">
        <v>86</v>
      </c>
      <c r="G6" s="376">
        <v>87</v>
      </c>
      <c r="H6" s="376">
        <v>93</v>
      </c>
      <c r="I6" s="376">
        <v>83</v>
      </c>
      <c r="J6" s="376"/>
      <c r="K6" s="376"/>
      <c r="L6" s="376"/>
      <c r="M6" s="376"/>
      <c r="N6" s="376"/>
      <c r="O6" s="376"/>
      <c r="P6" s="376"/>
      <c r="Q6" s="373">
        <f t="shared" si="0"/>
        <v>4</v>
      </c>
      <c r="R6" s="339"/>
      <c r="S6" s="338"/>
      <c r="T6" s="338"/>
    </row>
    <row r="7" spans="1:20">
      <c r="A7" s="376">
        <f t="shared" si="1"/>
        <v>5</v>
      </c>
      <c r="B7" s="376" t="s">
        <v>244</v>
      </c>
      <c r="C7" s="376">
        <v>68</v>
      </c>
      <c r="D7" s="376">
        <v>79</v>
      </c>
      <c r="E7" s="376">
        <v>82</v>
      </c>
      <c r="F7" s="376">
        <v>85</v>
      </c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3">
        <f t="shared" si="0"/>
        <v>4</v>
      </c>
      <c r="R7" s="260"/>
      <c r="S7" s="172"/>
      <c r="T7" s="214"/>
    </row>
    <row r="8" spans="1:20" s="172" customFormat="1">
      <c r="A8" s="376">
        <f t="shared" si="1"/>
        <v>6</v>
      </c>
      <c r="B8" s="376" t="s">
        <v>245</v>
      </c>
      <c r="C8" s="376"/>
      <c r="D8" s="376"/>
      <c r="E8" s="376"/>
      <c r="F8" s="376"/>
      <c r="G8" s="376"/>
      <c r="H8" s="376"/>
      <c r="I8" s="376"/>
      <c r="J8" s="376"/>
      <c r="K8" s="376"/>
      <c r="L8" s="376">
        <v>84</v>
      </c>
      <c r="M8" s="376"/>
      <c r="N8" s="376">
        <v>67</v>
      </c>
      <c r="O8" s="376">
        <v>57</v>
      </c>
      <c r="P8" s="376">
        <v>69</v>
      </c>
      <c r="Q8" s="373">
        <f t="shared" si="0"/>
        <v>4</v>
      </c>
      <c r="R8" s="260"/>
    </row>
    <row r="9" spans="1:20">
      <c r="A9" s="376">
        <f t="shared" si="1"/>
        <v>7</v>
      </c>
      <c r="B9" s="376" t="s">
        <v>246</v>
      </c>
      <c r="C9" s="376"/>
      <c r="D9" s="376"/>
      <c r="E9" s="376">
        <v>93</v>
      </c>
      <c r="F9" s="376"/>
      <c r="G9" s="376"/>
      <c r="H9" s="376"/>
      <c r="I9" s="376"/>
      <c r="J9" s="376"/>
      <c r="K9" s="376"/>
      <c r="L9" s="376"/>
      <c r="M9" s="376"/>
      <c r="N9" s="376"/>
      <c r="O9" s="376"/>
      <c r="P9" s="376"/>
      <c r="Q9" s="373">
        <f t="shared" si="0"/>
        <v>1</v>
      </c>
      <c r="R9" s="260"/>
      <c r="S9" s="172"/>
      <c r="T9" s="172"/>
    </row>
    <row r="10" spans="1:20">
      <c r="A10" s="376">
        <f t="shared" si="1"/>
        <v>8</v>
      </c>
      <c r="B10" s="376" t="s">
        <v>247</v>
      </c>
      <c r="C10" s="376"/>
      <c r="D10" s="376"/>
      <c r="E10" s="376"/>
      <c r="F10" s="376"/>
      <c r="G10" s="376">
        <v>72</v>
      </c>
      <c r="H10" s="376">
        <v>52</v>
      </c>
      <c r="I10" s="376">
        <v>85</v>
      </c>
      <c r="J10" s="376">
        <v>50</v>
      </c>
      <c r="K10" s="376"/>
      <c r="L10" s="376"/>
      <c r="M10" s="376"/>
      <c r="N10" s="376"/>
      <c r="O10" s="376"/>
      <c r="P10" s="376"/>
      <c r="Q10" s="373">
        <f t="shared" si="0"/>
        <v>4</v>
      </c>
      <c r="R10" s="260"/>
      <c r="S10" s="338"/>
      <c r="T10" s="338"/>
    </row>
    <row r="11" spans="1:20">
      <c r="A11" s="376">
        <f t="shared" si="1"/>
        <v>9</v>
      </c>
      <c r="B11" s="376" t="s">
        <v>248</v>
      </c>
      <c r="C11" s="376"/>
      <c r="D11" s="376"/>
      <c r="E11" s="376"/>
      <c r="F11" s="376">
        <v>69</v>
      </c>
      <c r="G11" s="376">
        <v>74</v>
      </c>
      <c r="H11" s="376">
        <v>70</v>
      </c>
      <c r="I11" s="376">
        <v>84</v>
      </c>
      <c r="J11" s="376"/>
      <c r="K11" s="376"/>
      <c r="L11" s="376"/>
      <c r="M11" s="376"/>
      <c r="N11" s="376"/>
      <c r="O11" s="376"/>
      <c r="P11" s="376"/>
      <c r="Q11" s="373">
        <f t="shared" si="0"/>
        <v>4</v>
      </c>
      <c r="R11" s="260"/>
      <c r="S11" s="172"/>
      <c r="T11" s="172"/>
    </row>
    <row r="12" spans="1:20">
      <c r="A12" s="376">
        <f t="shared" si="1"/>
        <v>10</v>
      </c>
      <c r="B12" s="377" t="s">
        <v>321</v>
      </c>
      <c r="C12" s="376">
        <v>54</v>
      </c>
      <c r="D12" s="376">
        <v>48</v>
      </c>
      <c r="E12" s="376">
        <v>67</v>
      </c>
      <c r="F12" s="376">
        <v>74</v>
      </c>
      <c r="G12" s="376">
        <v>70</v>
      </c>
      <c r="H12" s="376">
        <v>59</v>
      </c>
      <c r="I12" s="376">
        <v>79</v>
      </c>
      <c r="J12" s="376">
        <v>53</v>
      </c>
      <c r="K12" s="376">
        <v>40</v>
      </c>
      <c r="L12" s="376">
        <v>86</v>
      </c>
      <c r="M12" s="376"/>
      <c r="N12" s="376">
        <v>71</v>
      </c>
      <c r="O12" s="376">
        <v>51</v>
      </c>
      <c r="P12" s="376">
        <v>59</v>
      </c>
      <c r="Q12" s="373">
        <f t="shared" si="0"/>
        <v>13</v>
      </c>
      <c r="R12" s="260"/>
      <c r="S12" s="338"/>
      <c r="T12" s="338"/>
    </row>
    <row r="13" spans="1:20">
      <c r="A13" s="376">
        <f t="shared" si="1"/>
        <v>11</v>
      </c>
      <c r="B13" s="377" t="s">
        <v>255</v>
      </c>
      <c r="C13" s="376">
        <v>31</v>
      </c>
      <c r="D13" s="376">
        <v>65</v>
      </c>
      <c r="E13" s="376">
        <v>78</v>
      </c>
      <c r="F13" s="376">
        <v>68</v>
      </c>
      <c r="G13" s="376">
        <v>62</v>
      </c>
      <c r="H13" s="376">
        <v>45</v>
      </c>
      <c r="I13" s="376">
        <v>98</v>
      </c>
      <c r="J13" s="376">
        <v>37</v>
      </c>
      <c r="K13" s="376">
        <v>43</v>
      </c>
      <c r="L13" s="376">
        <v>47</v>
      </c>
      <c r="M13" s="376"/>
      <c r="N13" s="376">
        <v>42</v>
      </c>
      <c r="O13" s="376"/>
      <c r="P13" s="376">
        <v>45</v>
      </c>
      <c r="Q13" s="373">
        <f t="shared" si="0"/>
        <v>12</v>
      </c>
      <c r="R13" s="260"/>
      <c r="S13" s="338"/>
      <c r="T13" s="338"/>
    </row>
    <row r="14" spans="1:20">
      <c r="A14" s="376">
        <f t="shared" si="1"/>
        <v>12</v>
      </c>
      <c r="B14" s="377" t="s">
        <v>260</v>
      </c>
      <c r="C14" s="376"/>
      <c r="D14" s="376"/>
      <c r="E14" s="376"/>
      <c r="F14" s="376">
        <v>65</v>
      </c>
      <c r="G14" s="376">
        <v>78</v>
      </c>
      <c r="H14" s="376">
        <v>60</v>
      </c>
      <c r="I14" s="376">
        <v>76</v>
      </c>
      <c r="J14" s="376"/>
      <c r="K14" s="376"/>
      <c r="L14" s="376"/>
      <c r="M14" s="376"/>
      <c r="N14" s="376"/>
      <c r="O14" s="376"/>
      <c r="P14" s="376"/>
      <c r="Q14" s="373">
        <f t="shared" si="0"/>
        <v>4</v>
      </c>
      <c r="R14" s="260"/>
      <c r="S14" s="172"/>
      <c r="T14" s="172"/>
    </row>
    <row r="15" spans="1:20">
      <c r="A15" s="376">
        <f t="shared" si="1"/>
        <v>13</v>
      </c>
      <c r="B15" s="377" t="s">
        <v>261</v>
      </c>
      <c r="C15" s="376"/>
      <c r="D15" s="376"/>
      <c r="E15" s="376"/>
      <c r="F15" s="376"/>
      <c r="G15" s="376">
        <v>53</v>
      </c>
      <c r="H15" s="376">
        <v>66</v>
      </c>
      <c r="I15" s="376">
        <v>72</v>
      </c>
      <c r="J15" s="376">
        <v>49</v>
      </c>
      <c r="K15" s="376"/>
      <c r="L15" s="376"/>
      <c r="M15" s="376"/>
      <c r="N15" s="376"/>
      <c r="O15" s="376"/>
      <c r="P15" s="376"/>
      <c r="Q15" s="373">
        <f t="shared" si="0"/>
        <v>4</v>
      </c>
      <c r="R15" s="260"/>
      <c r="S15" s="172"/>
      <c r="T15" s="172"/>
    </row>
    <row r="16" spans="1:20">
      <c r="A16" s="376">
        <f t="shared" si="1"/>
        <v>14</v>
      </c>
      <c r="B16" s="377" t="s">
        <v>262</v>
      </c>
      <c r="C16" s="376">
        <v>46</v>
      </c>
      <c r="D16" s="376"/>
      <c r="E16" s="376"/>
      <c r="F16" s="376"/>
      <c r="G16" s="376"/>
      <c r="H16" s="376"/>
      <c r="I16" s="376"/>
      <c r="J16" s="376"/>
      <c r="K16" s="376"/>
      <c r="L16" s="376"/>
      <c r="M16" s="376"/>
      <c r="N16" s="376">
        <v>48</v>
      </c>
      <c r="O16" s="376">
        <v>25</v>
      </c>
      <c r="P16" s="376">
        <v>47</v>
      </c>
      <c r="Q16" s="373">
        <f t="shared" si="0"/>
        <v>4</v>
      </c>
      <c r="R16" s="260"/>
      <c r="S16" s="172"/>
      <c r="T16" s="172"/>
    </row>
    <row r="17" spans="1:21">
      <c r="A17" s="376">
        <f t="shared" si="1"/>
        <v>15</v>
      </c>
      <c r="B17" s="377" t="s">
        <v>263</v>
      </c>
      <c r="C17" s="376">
        <v>70</v>
      </c>
      <c r="D17" s="376"/>
      <c r="E17" s="376"/>
      <c r="F17" s="376"/>
      <c r="G17" s="376"/>
      <c r="H17" s="376"/>
      <c r="I17" s="376"/>
      <c r="J17" s="376"/>
      <c r="K17" s="376"/>
      <c r="L17" s="376"/>
      <c r="M17" s="376"/>
      <c r="N17" s="376">
        <v>86</v>
      </c>
      <c r="O17" s="376"/>
      <c r="P17" s="376">
        <v>74</v>
      </c>
      <c r="Q17" s="373">
        <f t="shared" si="0"/>
        <v>3</v>
      </c>
      <c r="R17" s="260"/>
      <c r="S17" s="172"/>
      <c r="T17" s="172"/>
    </row>
    <row r="18" spans="1:21">
      <c r="A18" s="376">
        <f t="shared" si="1"/>
        <v>16</v>
      </c>
      <c r="B18" s="377" t="s">
        <v>264</v>
      </c>
      <c r="C18" s="376"/>
      <c r="D18" s="376">
        <v>79</v>
      </c>
      <c r="E18" s="376">
        <v>85</v>
      </c>
      <c r="F18" s="376">
        <v>71</v>
      </c>
      <c r="G18" s="376">
        <v>74</v>
      </c>
      <c r="H18" s="378"/>
      <c r="I18" s="378"/>
      <c r="J18" s="375"/>
      <c r="K18" s="375"/>
      <c r="L18" s="375"/>
      <c r="M18" s="375"/>
      <c r="N18" s="375"/>
      <c r="O18" s="375"/>
      <c r="P18" s="378"/>
      <c r="Q18" s="373">
        <f t="shared" si="0"/>
        <v>4</v>
      </c>
      <c r="R18" s="260"/>
      <c r="S18" s="172"/>
      <c r="T18" s="172"/>
    </row>
    <row r="19" spans="1:21">
      <c r="A19" s="376">
        <f t="shared" si="1"/>
        <v>17</v>
      </c>
      <c r="B19" s="376" t="s">
        <v>265</v>
      </c>
      <c r="C19" s="375"/>
      <c r="D19" s="375"/>
      <c r="E19" s="375"/>
      <c r="F19" s="375"/>
      <c r="G19" s="375"/>
      <c r="H19" s="375"/>
      <c r="I19" s="375"/>
      <c r="J19" s="375">
        <v>82</v>
      </c>
      <c r="K19" s="375">
        <v>82</v>
      </c>
      <c r="L19" s="375">
        <v>85</v>
      </c>
      <c r="M19" s="375"/>
      <c r="N19" s="375"/>
      <c r="O19" s="375"/>
      <c r="P19" s="375"/>
      <c r="Q19" s="373">
        <f t="shared" si="0"/>
        <v>3</v>
      </c>
      <c r="R19" s="260"/>
      <c r="S19" s="172"/>
      <c r="T19" s="172"/>
    </row>
    <row r="20" spans="1:21">
      <c r="A20" s="376">
        <f t="shared" si="1"/>
        <v>18</v>
      </c>
      <c r="B20" s="376" t="s">
        <v>266</v>
      </c>
      <c r="C20" s="378"/>
      <c r="D20" s="378"/>
      <c r="E20" s="378"/>
      <c r="F20" s="375"/>
      <c r="G20" s="375"/>
      <c r="H20" s="375">
        <v>91</v>
      </c>
      <c r="I20" s="375">
        <v>96</v>
      </c>
      <c r="J20" s="376">
        <v>76</v>
      </c>
      <c r="K20" s="376">
        <v>76</v>
      </c>
      <c r="L20" s="376"/>
      <c r="M20" s="378"/>
      <c r="N20" s="378"/>
      <c r="O20" s="378"/>
      <c r="P20" s="378"/>
      <c r="Q20" s="373">
        <f t="shared" si="0"/>
        <v>4</v>
      </c>
      <c r="R20" s="260"/>
      <c r="S20" s="172"/>
      <c r="T20" s="172"/>
    </row>
    <row r="21" spans="1:21">
      <c r="A21" s="376">
        <f t="shared" si="1"/>
        <v>19</v>
      </c>
      <c r="B21" s="376" t="s">
        <v>267</v>
      </c>
      <c r="C21" s="378"/>
      <c r="D21" s="378"/>
      <c r="E21" s="378"/>
      <c r="F21" s="375"/>
      <c r="G21" s="375"/>
      <c r="H21" s="375"/>
      <c r="I21" s="375"/>
      <c r="J21" s="378"/>
      <c r="K21" s="378"/>
      <c r="L21" s="378"/>
      <c r="M21" s="378"/>
      <c r="N21" s="376">
        <v>73</v>
      </c>
      <c r="O21" s="378"/>
      <c r="P21" s="378"/>
      <c r="Q21" s="373">
        <f t="shared" si="0"/>
        <v>1</v>
      </c>
      <c r="R21" s="260"/>
      <c r="S21" s="338"/>
      <c r="T21" s="338"/>
    </row>
    <row r="22" spans="1:21">
      <c r="A22" s="376">
        <f t="shared" si="1"/>
        <v>20</v>
      </c>
      <c r="B22" s="376" t="s">
        <v>276</v>
      </c>
      <c r="C22" s="378"/>
      <c r="D22" s="378"/>
      <c r="E22" s="378"/>
      <c r="F22" s="378"/>
      <c r="G22" s="378"/>
      <c r="H22" s="378"/>
      <c r="I22" s="378"/>
      <c r="J22" s="378"/>
      <c r="K22" s="375">
        <v>59</v>
      </c>
      <c r="L22" s="375">
        <v>81</v>
      </c>
      <c r="M22" s="375"/>
      <c r="N22" s="375">
        <v>79</v>
      </c>
      <c r="O22" s="375">
        <v>76</v>
      </c>
      <c r="P22" s="375"/>
      <c r="Q22" s="373">
        <f t="shared" si="0"/>
        <v>4</v>
      </c>
      <c r="R22" s="260"/>
      <c r="S22" s="338"/>
      <c r="T22" s="338"/>
    </row>
    <row r="23" spans="1:21">
      <c r="A23" s="376">
        <f t="shared" si="1"/>
        <v>21</v>
      </c>
      <c r="B23" s="377" t="s">
        <v>289</v>
      </c>
      <c r="C23" s="375"/>
      <c r="D23" s="378"/>
      <c r="E23" s="378"/>
      <c r="F23" s="376">
        <f>12+17+12+11+7+7+7+4</f>
        <v>77</v>
      </c>
      <c r="G23" s="376">
        <f>12+16+12+13+7+8+8+4</f>
        <v>80</v>
      </c>
      <c r="H23" s="376">
        <f>13+16+12+9+8+8+9+5</f>
        <v>80</v>
      </c>
      <c r="I23" s="376">
        <f>13+16+13+13+9+8+9+5</f>
        <v>86</v>
      </c>
      <c r="J23" s="378"/>
      <c r="K23" s="378"/>
      <c r="L23" s="375"/>
      <c r="M23" s="375"/>
      <c r="N23" s="375"/>
      <c r="O23" s="375"/>
      <c r="P23" s="375"/>
      <c r="Q23" s="373">
        <f t="shared" si="0"/>
        <v>4</v>
      </c>
    </row>
    <row r="24" spans="1:21">
      <c r="A24" s="376">
        <f t="shared" si="1"/>
        <v>22</v>
      </c>
      <c r="B24" s="376" t="s">
        <v>291</v>
      </c>
      <c r="C24" s="378"/>
      <c r="D24" s="378"/>
      <c r="E24" s="376">
        <v>84</v>
      </c>
      <c r="F24" s="376">
        <v>84</v>
      </c>
      <c r="G24" s="376">
        <v>85</v>
      </c>
      <c r="H24" s="376">
        <v>83</v>
      </c>
      <c r="I24" s="375"/>
      <c r="J24" s="378"/>
      <c r="K24" s="378"/>
      <c r="L24" s="378"/>
      <c r="M24" s="378"/>
      <c r="N24" s="378"/>
      <c r="O24" s="378"/>
      <c r="P24" s="378"/>
      <c r="Q24" s="373">
        <f t="shared" si="0"/>
        <v>4</v>
      </c>
      <c r="R24" s="260"/>
      <c r="S24" s="338"/>
      <c r="T24" s="338"/>
    </row>
    <row r="25" spans="1:21">
      <c r="A25" s="376">
        <f t="shared" si="1"/>
        <v>23</v>
      </c>
      <c r="B25" s="376" t="s">
        <v>285</v>
      </c>
      <c r="C25" s="378"/>
      <c r="D25" s="378"/>
      <c r="E25" s="378"/>
      <c r="F25" s="376"/>
      <c r="G25" s="376"/>
      <c r="H25" s="376"/>
      <c r="I25" s="378"/>
      <c r="J25" s="375"/>
      <c r="K25" s="378"/>
      <c r="L25" s="378"/>
      <c r="M25" s="378"/>
      <c r="N25" s="376">
        <v>64</v>
      </c>
      <c r="O25" s="378"/>
      <c r="P25" s="378"/>
      <c r="Q25" s="373">
        <f t="shared" si="0"/>
        <v>1</v>
      </c>
    </row>
    <row r="26" spans="1:21">
      <c r="A26" s="376">
        <f t="shared" si="1"/>
        <v>24</v>
      </c>
      <c r="B26" s="377" t="s">
        <v>292</v>
      </c>
      <c r="C26" s="375"/>
      <c r="D26" s="375"/>
      <c r="E26" s="375"/>
      <c r="F26" s="375"/>
      <c r="G26" s="375">
        <v>100</v>
      </c>
      <c r="H26" s="375">
        <v>74</v>
      </c>
      <c r="I26" s="375">
        <v>100</v>
      </c>
      <c r="J26" s="375">
        <v>75</v>
      </c>
      <c r="K26" s="375"/>
      <c r="L26" s="375"/>
      <c r="M26" s="375"/>
      <c r="N26" s="375"/>
      <c r="O26" s="375"/>
      <c r="P26" s="375"/>
      <c r="Q26" s="373">
        <f t="shared" si="0"/>
        <v>4</v>
      </c>
      <c r="R26" s="260"/>
      <c r="S26" s="172"/>
      <c r="T26" s="172"/>
    </row>
    <row r="27" spans="1:21">
      <c r="A27" s="376">
        <f t="shared" si="1"/>
        <v>25</v>
      </c>
      <c r="B27" s="377" t="s">
        <v>293</v>
      </c>
      <c r="C27" s="378"/>
      <c r="D27" s="378"/>
      <c r="E27" s="378"/>
      <c r="F27" s="375"/>
      <c r="G27" s="375"/>
      <c r="H27" s="375"/>
      <c r="I27" s="375"/>
      <c r="J27" s="376">
        <v>82</v>
      </c>
      <c r="K27" s="376">
        <v>82</v>
      </c>
      <c r="L27" s="376">
        <v>85</v>
      </c>
      <c r="M27" s="376"/>
      <c r="N27" s="378"/>
      <c r="O27" s="378"/>
      <c r="P27" s="378"/>
      <c r="Q27" s="373">
        <f t="shared" si="0"/>
        <v>3</v>
      </c>
      <c r="R27" s="260"/>
      <c r="S27" s="172"/>
      <c r="T27" s="172"/>
    </row>
    <row r="28" spans="1:21">
      <c r="A28" s="376">
        <f t="shared" si="1"/>
        <v>26</v>
      </c>
      <c r="B28" s="376" t="s">
        <v>280</v>
      </c>
      <c r="C28" s="378"/>
      <c r="D28" s="376">
        <v>88</v>
      </c>
      <c r="E28" s="376">
        <v>92</v>
      </c>
      <c r="F28" s="375">
        <v>89</v>
      </c>
      <c r="G28" s="375">
        <v>78</v>
      </c>
      <c r="H28" s="375"/>
      <c r="I28" s="375"/>
      <c r="J28" s="378"/>
      <c r="K28" s="378"/>
      <c r="L28" s="378"/>
      <c r="M28" s="378"/>
      <c r="N28" s="378"/>
      <c r="O28" s="378"/>
      <c r="P28" s="378"/>
      <c r="Q28" s="373">
        <f t="shared" si="0"/>
        <v>4</v>
      </c>
      <c r="R28" s="260"/>
      <c r="S28" s="172"/>
      <c r="T28" s="172"/>
    </row>
    <row r="29" spans="1:21">
      <c r="A29" s="376">
        <f t="shared" si="1"/>
        <v>27</v>
      </c>
      <c r="B29" s="376" t="s">
        <v>294</v>
      </c>
      <c r="C29" s="378"/>
      <c r="D29" s="378"/>
      <c r="E29" s="378"/>
      <c r="F29" s="378"/>
      <c r="G29" s="376">
        <v>87</v>
      </c>
      <c r="H29" s="378"/>
      <c r="I29" s="378"/>
      <c r="J29" s="378"/>
      <c r="K29" s="375"/>
      <c r="L29" s="375"/>
      <c r="M29" s="375"/>
      <c r="N29" s="375"/>
      <c r="O29" s="375"/>
      <c r="P29" s="375"/>
      <c r="Q29" s="373">
        <f t="shared" si="0"/>
        <v>1</v>
      </c>
    </row>
    <row r="30" spans="1:21">
      <c r="A30" s="376">
        <f t="shared" si="1"/>
        <v>28</v>
      </c>
      <c r="B30" s="376" t="s">
        <v>271</v>
      </c>
      <c r="C30" s="378"/>
      <c r="D30" s="378"/>
      <c r="E30" s="378"/>
      <c r="F30" s="378"/>
      <c r="G30" s="376">
        <v>75</v>
      </c>
      <c r="H30" s="378"/>
      <c r="I30" s="378"/>
      <c r="J30" s="375"/>
      <c r="K30" s="375">
        <v>81</v>
      </c>
      <c r="L30" s="375">
        <v>87</v>
      </c>
      <c r="M30" s="375"/>
      <c r="N30" s="375"/>
      <c r="O30" s="375">
        <v>54</v>
      </c>
      <c r="P30" s="378"/>
      <c r="Q30" s="373">
        <f t="shared" si="0"/>
        <v>4</v>
      </c>
      <c r="R30" s="260"/>
      <c r="S30" s="172"/>
      <c r="T30" s="172"/>
    </row>
    <row r="31" spans="1:21">
      <c r="A31" s="376">
        <f t="shared" si="1"/>
        <v>29</v>
      </c>
      <c r="B31" s="376" t="s">
        <v>284</v>
      </c>
      <c r="C31" s="375"/>
      <c r="D31" s="375"/>
      <c r="E31" s="375"/>
      <c r="F31" s="376">
        <v>80</v>
      </c>
      <c r="G31" s="376">
        <v>88</v>
      </c>
      <c r="H31" s="376">
        <v>85</v>
      </c>
      <c r="I31" s="376">
        <v>80</v>
      </c>
      <c r="J31" s="376"/>
      <c r="K31" s="378"/>
      <c r="L31" s="378"/>
      <c r="M31" s="378"/>
      <c r="N31" s="378"/>
      <c r="O31" s="378"/>
      <c r="P31" s="375"/>
      <c r="Q31" s="373">
        <f t="shared" si="0"/>
        <v>4</v>
      </c>
      <c r="R31" s="260"/>
      <c r="S31" s="172"/>
      <c r="T31" s="172"/>
      <c r="U31" s="275"/>
    </row>
    <row r="32" spans="1:21">
      <c r="A32" s="376">
        <f t="shared" si="1"/>
        <v>30</v>
      </c>
      <c r="B32" s="376" t="s">
        <v>295</v>
      </c>
      <c r="C32" s="375"/>
      <c r="D32" s="375"/>
      <c r="E32" s="375"/>
      <c r="F32" s="378"/>
      <c r="G32" s="376"/>
      <c r="H32" s="378"/>
      <c r="I32" s="378"/>
      <c r="J32" s="378"/>
      <c r="K32" s="378"/>
      <c r="L32" s="375"/>
      <c r="M32" s="375"/>
      <c r="N32" s="375">
        <v>72</v>
      </c>
      <c r="O32" s="375"/>
      <c r="P32" s="375"/>
      <c r="Q32" s="373">
        <f t="shared" si="0"/>
        <v>1</v>
      </c>
      <c r="R32" s="260"/>
      <c r="S32" s="338"/>
      <c r="T32" s="338"/>
      <c r="U32" s="275"/>
    </row>
    <row r="33" spans="1:18">
      <c r="A33" s="376">
        <f t="shared" si="1"/>
        <v>31</v>
      </c>
      <c r="B33" s="377" t="s">
        <v>296</v>
      </c>
      <c r="C33" s="378"/>
      <c r="D33" s="378"/>
      <c r="E33" s="378"/>
      <c r="F33" s="378"/>
      <c r="G33" s="378"/>
      <c r="H33" s="378"/>
      <c r="I33" s="378"/>
      <c r="J33" s="375"/>
      <c r="K33" s="375"/>
      <c r="L33" s="375">
        <v>78</v>
      </c>
      <c r="M33" s="375"/>
      <c r="N33" s="375">
        <v>53</v>
      </c>
      <c r="O33" s="375">
        <v>44</v>
      </c>
      <c r="P33" s="376">
        <v>51</v>
      </c>
      <c r="Q33" s="373">
        <f t="shared" si="0"/>
        <v>4</v>
      </c>
    </row>
    <row r="34" spans="1:18">
      <c r="A34" s="376">
        <f t="shared" si="1"/>
        <v>32</v>
      </c>
      <c r="B34" s="376" t="s">
        <v>297</v>
      </c>
      <c r="C34" s="376">
        <v>75</v>
      </c>
      <c r="D34" s="376">
        <v>78</v>
      </c>
      <c r="E34" s="376">
        <v>81</v>
      </c>
      <c r="F34" s="378"/>
      <c r="G34" s="378"/>
      <c r="H34" s="375"/>
      <c r="I34" s="375"/>
      <c r="J34" s="375"/>
      <c r="K34" s="375"/>
      <c r="L34" s="378"/>
      <c r="M34" s="378"/>
      <c r="N34" s="378"/>
      <c r="O34" s="378"/>
      <c r="P34" s="378"/>
      <c r="Q34" s="373">
        <f t="shared" si="0"/>
        <v>3</v>
      </c>
    </row>
    <row r="35" spans="1:18">
      <c r="A35" s="376">
        <f t="shared" si="1"/>
        <v>33</v>
      </c>
      <c r="B35" s="377" t="s">
        <v>264</v>
      </c>
      <c r="C35" s="378"/>
      <c r="D35" s="375">
        <v>79</v>
      </c>
      <c r="E35" s="375">
        <v>85</v>
      </c>
      <c r="F35" s="375">
        <v>71</v>
      </c>
      <c r="G35" s="375">
        <v>74</v>
      </c>
      <c r="H35" s="378"/>
      <c r="I35" s="378"/>
      <c r="J35" s="378"/>
      <c r="K35" s="378"/>
      <c r="L35" s="378"/>
      <c r="M35" s="378"/>
      <c r="N35" s="378"/>
      <c r="O35" s="378"/>
      <c r="P35" s="378"/>
      <c r="Q35" s="373">
        <f t="shared" ref="Q35:Q58" si="2">COUNTA(C35:P35)</f>
        <v>4</v>
      </c>
    </row>
    <row r="36" spans="1:18">
      <c r="A36" s="376">
        <f t="shared" si="1"/>
        <v>34</v>
      </c>
      <c r="B36" s="377" t="s">
        <v>298</v>
      </c>
      <c r="C36" s="378"/>
      <c r="D36" s="375"/>
      <c r="E36" s="375"/>
      <c r="F36" s="375">
        <v>82</v>
      </c>
      <c r="G36" s="375">
        <v>94</v>
      </c>
      <c r="H36" s="376">
        <v>66</v>
      </c>
      <c r="I36" s="376">
        <v>89</v>
      </c>
      <c r="J36" s="376"/>
      <c r="K36" s="378"/>
      <c r="L36" s="378"/>
      <c r="M36" s="378"/>
      <c r="N36" s="378"/>
      <c r="O36" s="378"/>
      <c r="P36" s="378"/>
      <c r="Q36" s="373">
        <f t="shared" si="2"/>
        <v>4</v>
      </c>
    </row>
    <row r="37" spans="1:18">
      <c r="A37" s="376">
        <f t="shared" si="1"/>
        <v>35</v>
      </c>
      <c r="B37" s="377" t="s">
        <v>299</v>
      </c>
      <c r="C37" s="375">
        <v>73</v>
      </c>
      <c r="D37" s="375">
        <v>56</v>
      </c>
      <c r="E37" s="375">
        <v>78</v>
      </c>
      <c r="F37" s="375">
        <v>70</v>
      </c>
      <c r="G37" s="375">
        <v>84</v>
      </c>
      <c r="H37" s="375">
        <v>74</v>
      </c>
      <c r="I37" s="375">
        <v>88</v>
      </c>
      <c r="J37" s="375">
        <v>71</v>
      </c>
      <c r="K37" s="375">
        <v>52</v>
      </c>
      <c r="L37" s="375">
        <v>81</v>
      </c>
      <c r="M37" s="375"/>
      <c r="N37" s="375">
        <v>67</v>
      </c>
      <c r="O37" s="375"/>
      <c r="P37" s="375">
        <v>76</v>
      </c>
      <c r="Q37" s="373">
        <f t="shared" si="2"/>
        <v>12</v>
      </c>
    </row>
    <row r="38" spans="1:18">
      <c r="A38" s="376">
        <f t="shared" si="1"/>
        <v>36</v>
      </c>
      <c r="B38" s="377" t="s">
        <v>281</v>
      </c>
      <c r="C38" s="376">
        <v>58</v>
      </c>
      <c r="D38" s="376">
        <v>67</v>
      </c>
      <c r="E38" s="376">
        <v>68</v>
      </c>
      <c r="F38" s="376">
        <v>74</v>
      </c>
      <c r="G38" s="376"/>
      <c r="H38" s="378"/>
      <c r="I38" s="378"/>
      <c r="J38" s="378"/>
      <c r="K38" s="378"/>
      <c r="L38" s="375"/>
      <c r="M38" s="375"/>
      <c r="N38" s="375"/>
      <c r="O38" s="375"/>
      <c r="P38" s="378"/>
      <c r="Q38" s="373">
        <f t="shared" si="2"/>
        <v>4</v>
      </c>
    </row>
    <row r="39" spans="1:18">
      <c r="A39" s="376">
        <f t="shared" si="1"/>
        <v>37</v>
      </c>
      <c r="B39" s="376" t="s">
        <v>300</v>
      </c>
      <c r="C39" s="376">
        <v>79</v>
      </c>
      <c r="D39" s="378"/>
      <c r="E39" s="378"/>
      <c r="F39" s="378"/>
      <c r="G39" s="375"/>
      <c r="H39" s="375"/>
      <c r="I39" s="375">
        <v>93</v>
      </c>
      <c r="J39" s="375">
        <v>85</v>
      </c>
      <c r="K39" s="376">
        <v>74</v>
      </c>
      <c r="L39" s="376"/>
      <c r="M39" s="376"/>
      <c r="N39" s="376">
        <v>94</v>
      </c>
      <c r="O39" s="376"/>
      <c r="P39" s="376">
        <v>81</v>
      </c>
      <c r="Q39" s="373">
        <f t="shared" si="2"/>
        <v>6</v>
      </c>
    </row>
    <row r="40" spans="1:18">
      <c r="A40" s="376">
        <f t="shared" si="1"/>
        <v>38</v>
      </c>
      <c r="B40" s="377" t="s">
        <v>278</v>
      </c>
      <c r="C40" s="375"/>
      <c r="D40" s="375"/>
      <c r="E40" s="375"/>
      <c r="F40" s="375"/>
      <c r="G40" s="378"/>
      <c r="H40" s="376">
        <v>70</v>
      </c>
      <c r="I40" s="376">
        <v>78</v>
      </c>
      <c r="J40" s="376">
        <v>68</v>
      </c>
      <c r="K40" s="376">
        <v>61</v>
      </c>
      <c r="L40" s="378"/>
      <c r="M40" s="378"/>
      <c r="N40" s="376"/>
      <c r="O40" s="376"/>
      <c r="P40" s="376"/>
      <c r="Q40" s="373">
        <f t="shared" si="2"/>
        <v>4</v>
      </c>
    </row>
    <row r="41" spans="1:18" s="374" customFormat="1">
      <c r="A41" s="376">
        <f t="shared" si="1"/>
        <v>39</v>
      </c>
      <c r="B41" s="375" t="s">
        <v>301</v>
      </c>
      <c r="C41" s="375">
        <v>61</v>
      </c>
      <c r="D41" s="375">
        <v>67</v>
      </c>
      <c r="E41" s="375">
        <v>69</v>
      </c>
      <c r="F41" s="375">
        <v>80</v>
      </c>
      <c r="G41" s="375">
        <v>84</v>
      </c>
      <c r="H41" s="376">
        <v>84</v>
      </c>
      <c r="I41" s="376">
        <v>70</v>
      </c>
      <c r="J41" s="376">
        <v>64</v>
      </c>
      <c r="K41" s="376">
        <v>72</v>
      </c>
      <c r="L41" s="375">
        <v>88</v>
      </c>
      <c r="M41" s="375"/>
      <c r="N41" s="375">
        <v>62</v>
      </c>
      <c r="O41" s="375"/>
      <c r="P41" s="375">
        <v>71</v>
      </c>
      <c r="Q41" s="373">
        <f t="shared" si="2"/>
        <v>12</v>
      </c>
      <c r="R41" s="373"/>
    </row>
    <row r="42" spans="1:18">
      <c r="A42" s="376">
        <f t="shared" si="1"/>
        <v>40</v>
      </c>
      <c r="B42" s="377" t="s">
        <v>302</v>
      </c>
      <c r="C42" s="375"/>
      <c r="D42" s="375"/>
      <c r="E42" s="375"/>
      <c r="F42" s="375"/>
      <c r="G42" s="378"/>
      <c r="H42" s="378"/>
      <c r="I42" s="376">
        <v>98</v>
      </c>
      <c r="J42" s="376">
        <v>78</v>
      </c>
      <c r="K42" s="376">
        <v>60</v>
      </c>
      <c r="L42" s="376">
        <v>66</v>
      </c>
      <c r="M42" s="378"/>
      <c r="N42" s="378"/>
      <c r="O42" s="378"/>
      <c r="P42" s="378"/>
      <c r="Q42" s="373">
        <f t="shared" si="2"/>
        <v>4</v>
      </c>
    </row>
    <row r="43" spans="1:18">
      <c r="A43" s="376">
        <f t="shared" si="1"/>
        <v>41</v>
      </c>
      <c r="B43" s="376" t="s">
        <v>303</v>
      </c>
      <c r="C43" s="376">
        <v>64</v>
      </c>
      <c r="D43" s="376">
        <v>37</v>
      </c>
      <c r="E43" s="376">
        <v>84</v>
      </c>
      <c r="F43" s="376">
        <v>81</v>
      </c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3">
        <f t="shared" si="2"/>
        <v>4</v>
      </c>
    </row>
    <row r="44" spans="1:18">
      <c r="A44" s="376">
        <f t="shared" si="1"/>
        <v>42</v>
      </c>
      <c r="B44" s="376" t="s">
        <v>279</v>
      </c>
      <c r="C44" s="376"/>
      <c r="D44" s="376"/>
      <c r="E44" s="376"/>
      <c r="F44" s="376"/>
      <c r="G44" s="376"/>
      <c r="H44" s="376">
        <v>69</v>
      </c>
      <c r="I44" s="376">
        <v>60</v>
      </c>
      <c r="J44" s="376">
        <v>64</v>
      </c>
      <c r="K44" s="376">
        <v>40</v>
      </c>
      <c r="L44" s="376"/>
      <c r="M44" s="376"/>
      <c r="N44" s="376"/>
      <c r="O44" s="376"/>
      <c r="P44" s="376"/>
      <c r="Q44" s="373">
        <f t="shared" si="2"/>
        <v>4</v>
      </c>
    </row>
    <row r="45" spans="1:18">
      <c r="A45" s="376">
        <f t="shared" si="1"/>
        <v>43</v>
      </c>
      <c r="B45" s="376" t="s">
        <v>304</v>
      </c>
      <c r="C45" s="376">
        <v>66</v>
      </c>
      <c r="D45" s="376">
        <v>59</v>
      </c>
      <c r="E45" s="376">
        <v>82</v>
      </c>
      <c r="F45" s="376">
        <v>79</v>
      </c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3">
        <f t="shared" si="2"/>
        <v>4</v>
      </c>
    </row>
    <row r="46" spans="1:18">
      <c r="A46" s="376">
        <f t="shared" si="1"/>
        <v>44</v>
      </c>
      <c r="B46" s="376" t="s">
        <v>305</v>
      </c>
      <c r="C46" s="376"/>
      <c r="D46" s="376"/>
      <c r="E46" s="376"/>
      <c r="F46" s="376"/>
      <c r="G46" s="376"/>
      <c r="H46" s="376"/>
      <c r="I46" s="376">
        <v>92.5</v>
      </c>
      <c r="J46" s="376">
        <v>62.5</v>
      </c>
      <c r="K46" s="376">
        <v>43</v>
      </c>
      <c r="L46" s="376">
        <v>76.5</v>
      </c>
      <c r="M46" s="376"/>
      <c r="N46" s="376"/>
      <c r="O46" s="376"/>
      <c r="P46" s="376"/>
      <c r="Q46" s="373">
        <f t="shared" si="2"/>
        <v>4</v>
      </c>
    </row>
    <row r="47" spans="1:18" s="338" customFormat="1">
      <c r="A47" s="376">
        <f t="shared" si="1"/>
        <v>45</v>
      </c>
      <c r="B47" s="376" t="s">
        <v>306</v>
      </c>
      <c r="C47" s="376"/>
      <c r="D47" s="376"/>
      <c r="E47" s="376"/>
      <c r="F47" s="376">
        <v>76</v>
      </c>
      <c r="G47" s="376">
        <v>86</v>
      </c>
      <c r="H47" s="376">
        <v>79</v>
      </c>
      <c r="I47" s="376">
        <v>93</v>
      </c>
      <c r="J47" s="376"/>
      <c r="K47" s="376"/>
      <c r="L47" s="376"/>
      <c r="M47" s="376"/>
      <c r="N47" s="376"/>
      <c r="O47" s="376"/>
      <c r="P47" s="376"/>
      <c r="Q47" s="373">
        <f t="shared" si="2"/>
        <v>4</v>
      </c>
      <c r="R47" s="260"/>
    </row>
    <row r="48" spans="1:18">
      <c r="A48" s="376">
        <f t="shared" si="1"/>
        <v>46</v>
      </c>
      <c r="B48" s="376" t="s">
        <v>307</v>
      </c>
      <c r="C48" s="376">
        <v>90</v>
      </c>
      <c r="D48" s="376">
        <v>74</v>
      </c>
      <c r="E48" s="376">
        <v>100</v>
      </c>
      <c r="F48" s="376">
        <v>86</v>
      </c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3">
        <f t="shared" si="2"/>
        <v>4</v>
      </c>
    </row>
    <row r="49" spans="1:17">
      <c r="A49" s="376">
        <f t="shared" si="1"/>
        <v>47</v>
      </c>
      <c r="B49" s="376" t="s">
        <v>308</v>
      </c>
      <c r="C49" s="376"/>
      <c r="D49" s="376"/>
      <c r="E49" s="376"/>
      <c r="F49" s="376"/>
      <c r="G49" s="376"/>
      <c r="H49" s="376"/>
      <c r="I49" s="376"/>
      <c r="J49" s="376"/>
      <c r="K49" s="376">
        <v>53</v>
      </c>
      <c r="L49" s="376">
        <v>91</v>
      </c>
      <c r="M49" s="376"/>
      <c r="N49" s="376">
        <v>64</v>
      </c>
      <c r="O49" s="376">
        <v>38</v>
      </c>
      <c r="P49" s="376"/>
      <c r="Q49" s="373">
        <f t="shared" si="2"/>
        <v>4</v>
      </c>
    </row>
    <row r="50" spans="1:17">
      <c r="A50" s="376">
        <f t="shared" si="1"/>
        <v>48</v>
      </c>
      <c r="B50" s="376" t="s">
        <v>309</v>
      </c>
      <c r="C50" s="376"/>
      <c r="D50" s="376">
        <v>60</v>
      </c>
      <c r="E50" s="376">
        <v>81</v>
      </c>
      <c r="F50" s="376">
        <v>63</v>
      </c>
      <c r="G50" s="376">
        <v>81</v>
      </c>
      <c r="H50" s="376"/>
      <c r="I50" s="376"/>
      <c r="J50" s="376"/>
      <c r="K50" s="376"/>
      <c r="L50" s="376"/>
      <c r="M50" s="376"/>
      <c r="N50" s="376"/>
      <c r="O50" s="376"/>
      <c r="P50" s="376"/>
      <c r="Q50" s="373">
        <f t="shared" si="2"/>
        <v>4</v>
      </c>
    </row>
    <row r="51" spans="1:17">
      <c r="A51" s="376">
        <f t="shared" si="1"/>
        <v>49</v>
      </c>
      <c r="B51" s="376" t="s">
        <v>310</v>
      </c>
      <c r="C51" s="376"/>
      <c r="D51" s="376"/>
      <c r="E51" s="376"/>
      <c r="F51" s="376">
        <v>84</v>
      </c>
      <c r="G51" s="376">
        <v>71</v>
      </c>
      <c r="H51" s="376">
        <v>56</v>
      </c>
      <c r="I51" s="376">
        <v>85</v>
      </c>
      <c r="J51" s="376"/>
      <c r="K51" s="376"/>
      <c r="L51" s="376"/>
      <c r="M51" s="376"/>
      <c r="N51" s="376"/>
      <c r="O51" s="376"/>
      <c r="P51" s="376"/>
      <c r="Q51" s="373">
        <f t="shared" si="2"/>
        <v>4</v>
      </c>
    </row>
    <row r="52" spans="1:17">
      <c r="A52" s="376">
        <f t="shared" si="1"/>
        <v>50</v>
      </c>
      <c r="B52" s="377" t="s">
        <v>306</v>
      </c>
      <c r="C52" s="376"/>
      <c r="D52" s="376"/>
      <c r="E52" s="376"/>
      <c r="F52" s="376">
        <v>76</v>
      </c>
      <c r="G52" s="376">
        <v>86</v>
      </c>
      <c r="H52" s="376">
        <v>79</v>
      </c>
      <c r="I52" s="376">
        <v>93</v>
      </c>
      <c r="J52" s="376"/>
      <c r="K52" s="376"/>
      <c r="L52" s="376"/>
      <c r="M52" s="376"/>
      <c r="N52" s="376"/>
      <c r="O52" s="376"/>
      <c r="P52" s="376"/>
      <c r="Q52" s="373">
        <f t="shared" si="2"/>
        <v>4</v>
      </c>
    </row>
    <row r="53" spans="1:17">
      <c r="A53" s="376">
        <f t="shared" si="1"/>
        <v>51</v>
      </c>
      <c r="B53" s="377" t="s">
        <v>312</v>
      </c>
      <c r="C53" s="378"/>
      <c r="D53" s="378"/>
      <c r="E53" s="378"/>
      <c r="F53" s="378"/>
      <c r="G53" s="378"/>
      <c r="H53" s="375"/>
      <c r="I53" s="375"/>
      <c r="J53" s="375"/>
      <c r="K53" s="375"/>
      <c r="L53" s="376">
        <v>67</v>
      </c>
      <c r="M53" s="378"/>
      <c r="N53" s="378"/>
      <c r="O53" s="378"/>
      <c r="P53" s="378"/>
      <c r="Q53" s="373">
        <f t="shared" si="2"/>
        <v>1</v>
      </c>
    </row>
    <row r="54" spans="1:17">
      <c r="A54" s="376">
        <f t="shared" si="1"/>
        <v>52</v>
      </c>
      <c r="B54" s="376" t="s">
        <v>313</v>
      </c>
      <c r="C54" s="375"/>
      <c r="D54" s="378"/>
      <c r="E54" s="378"/>
      <c r="F54" s="378"/>
      <c r="G54" s="378"/>
      <c r="H54" s="376">
        <v>79</v>
      </c>
      <c r="I54" s="376">
        <v>92</v>
      </c>
      <c r="J54" s="376">
        <v>68</v>
      </c>
      <c r="K54" s="376">
        <v>60</v>
      </c>
      <c r="L54" s="375"/>
      <c r="M54" s="375"/>
      <c r="N54" s="376"/>
      <c r="O54" s="376"/>
      <c r="P54" s="376"/>
      <c r="Q54" s="373">
        <f t="shared" si="2"/>
        <v>4</v>
      </c>
    </row>
    <row r="55" spans="1:17">
      <c r="A55" s="376">
        <f t="shared" si="1"/>
        <v>53</v>
      </c>
      <c r="B55" s="377" t="s">
        <v>314</v>
      </c>
      <c r="C55" s="376">
        <v>80</v>
      </c>
      <c r="D55" s="375">
        <v>88</v>
      </c>
      <c r="E55" s="378"/>
      <c r="F55" s="375"/>
      <c r="G55" s="378"/>
      <c r="H55" s="378"/>
      <c r="I55" s="378"/>
      <c r="J55" s="378"/>
      <c r="K55" s="378"/>
      <c r="L55" s="378"/>
      <c r="M55" s="378"/>
      <c r="N55" s="376">
        <v>94</v>
      </c>
      <c r="O55" s="376"/>
      <c r="P55" s="376">
        <v>83</v>
      </c>
      <c r="Q55" s="373">
        <f t="shared" si="2"/>
        <v>4</v>
      </c>
    </row>
    <row r="56" spans="1:17">
      <c r="A56" s="376">
        <f t="shared" si="1"/>
        <v>54</v>
      </c>
      <c r="B56" s="376" t="s">
        <v>315</v>
      </c>
      <c r="C56" s="376">
        <v>55</v>
      </c>
      <c r="D56" s="376">
        <v>82</v>
      </c>
      <c r="E56" s="376"/>
      <c r="F56" s="376"/>
      <c r="G56" s="376"/>
      <c r="H56" s="376"/>
      <c r="I56" s="376"/>
      <c r="J56" s="376"/>
      <c r="K56" s="376"/>
      <c r="L56" s="376"/>
      <c r="M56" s="376"/>
      <c r="N56" s="376">
        <v>62</v>
      </c>
      <c r="O56" s="376"/>
      <c r="P56" s="376">
        <v>60</v>
      </c>
      <c r="Q56" s="373">
        <f t="shared" si="2"/>
        <v>4</v>
      </c>
    </row>
    <row r="57" spans="1:17">
      <c r="A57" s="376">
        <f t="shared" si="1"/>
        <v>55</v>
      </c>
      <c r="B57" s="376" t="s">
        <v>316</v>
      </c>
      <c r="C57" s="378"/>
      <c r="D57" s="375">
        <v>73</v>
      </c>
      <c r="E57" s="375">
        <v>78</v>
      </c>
      <c r="F57" s="375">
        <v>71</v>
      </c>
      <c r="G57" s="375">
        <v>72</v>
      </c>
      <c r="H57" s="378"/>
      <c r="I57" s="378"/>
      <c r="J57" s="378"/>
      <c r="K57" s="378"/>
      <c r="L57" s="378"/>
      <c r="M57" s="378"/>
      <c r="N57" s="378"/>
      <c r="O57" s="378"/>
      <c r="P57" s="378"/>
      <c r="Q57" s="373">
        <f t="shared" si="2"/>
        <v>4</v>
      </c>
    </row>
    <row r="58" spans="1:17">
      <c r="A58" s="376">
        <f t="shared" si="1"/>
        <v>56</v>
      </c>
      <c r="B58" s="377" t="s">
        <v>271</v>
      </c>
      <c r="C58" s="378"/>
      <c r="D58" s="378"/>
      <c r="E58" s="378"/>
      <c r="F58" s="378"/>
      <c r="G58" s="376">
        <v>84</v>
      </c>
      <c r="H58" s="376">
        <v>82</v>
      </c>
      <c r="I58" s="376">
        <v>91</v>
      </c>
      <c r="J58" s="376">
        <v>84</v>
      </c>
      <c r="K58" s="375"/>
      <c r="L58" s="375"/>
      <c r="M58" s="375"/>
      <c r="N58" s="375"/>
      <c r="O58" s="375"/>
      <c r="P58" s="378"/>
      <c r="Q58" s="373">
        <f t="shared" si="2"/>
        <v>4</v>
      </c>
    </row>
    <row r="59" spans="1:17">
      <c r="A59" s="376"/>
      <c r="B59" s="377"/>
      <c r="C59" s="378"/>
      <c r="D59" s="378"/>
      <c r="E59" s="378"/>
      <c r="F59" s="378"/>
      <c r="G59" s="378"/>
      <c r="H59" s="378"/>
      <c r="I59" s="378"/>
      <c r="J59" s="375"/>
      <c r="K59" s="375"/>
      <c r="L59" s="375"/>
      <c r="M59" s="375"/>
      <c r="N59" s="375"/>
      <c r="O59" s="375"/>
      <c r="P59" s="375"/>
      <c r="Q59" s="373"/>
    </row>
    <row r="60" spans="1:17">
      <c r="A60" s="376"/>
      <c r="B60" s="377"/>
      <c r="C60" s="378"/>
      <c r="D60" s="378"/>
      <c r="E60" s="378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8"/>
      <c r="Q60" s="373"/>
    </row>
    <row r="61" spans="1:17">
      <c r="A61" s="376"/>
      <c r="B61" s="377"/>
      <c r="C61" s="378"/>
      <c r="D61" s="378"/>
      <c r="E61" s="378"/>
      <c r="F61" s="378"/>
      <c r="G61" s="378"/>
      <c r="H61" s="375"/>
      <c r="I61" s="375"/>
      <c r="J61" s="375"/>
      <c r="K61" s="375"/>
      <c r="L61" s="378"/>
      <c r="M61" s="378"/>
      <c r="N61" s="378"/>
      <c r="O61" s="378"/>
      <c r="P61" s="378"/>
      <c r="Q61" s="373"/>
    </row>
    <row r="62" spans="1:17">
      <c r="A62" s="376"/>
      <c r="B62" s="377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3"/>
    </row>
    <row r="63" spans="1:17">
      <c r="A63" s="376"/>
      <c r="B63" s="377"/>
      <c r="C63" s="378"/>
      <c r="D63" s="378"/>
      <c r="E63" s="378"/>
      <c r="F63" s="378"/>
      <c r="G63" s="378"/>
      <c r="H63" s="375"/>
      <c r="I63" s="375"/>
      <c r="J63" s="375"/>
      <c r="K63" s="375"/>
      <c r="L63" s="378"/>
      <c r="M63" s="378"/>
      <c r="N63" s="378"/>
      <c r="O63" s="378"/>
      <c r="P63" s="378"/>
      <c r="Q63" s="373"/>
    </row>
    <row r="64" spans="1:17">
      <c r="A64" s="376"/>
      <c r="B64" s="377"/>
      <c r="C64" s="375"/>
      <c r="D64" s="378"/>
      <c r="E64" s="378"/>
      <c r="F64" s="378"/>
      <c r="G64" s="378"/>
      <c r="H64" s="378"/>
      <c r="I64" s="378"/>
      <c r="J64" s="378"/>
      <c r="K64" s="378"/>
      <c r="L64" s="378"/>
      <c r="M64" s="375"/>
      <c r="N64" s="375"/>
      <c r="O64" s="375"/>
      <c r="P64" s="378"/>
      <c r="Q64" s="373"/>
    </row>
    <row r="65" spans="1:20">
      <c r="A65" s="376"/>
      <c r="B65" s="377"/>
      <c r="C65" s="378"/>
      <c r="D65" s="375"/>
      <c r="E65" s="375"/>
      <c r="F65" s="375"/>
      <c r="G65" s="375"/>
      <c r="H65" s="378"/>
      <c r="I65" s="378"/>
      <c r="J65" s="378"/>
      <c r="K65" s="378"/>
      <c r="L65" s="378"/>
      <c r="M65" s="378"/>
      <c r="N65" s="378"/>
      <c r="O65" s="378"/>
      <c r="P65" s="378"/>
      <c r="Q65" s="373"/>
    </row>
    <row r="67" spans="1:20">
      <c r="A67" s="339" t="s">
        <v>76</v>
      </c>
      <c r="C67" s="379">
        <f t="shared" ref="C67:P67" si="3">AVERAGE(C3:C66)</f>
        <v>65.125</v>
      </c>
      <c r="D67" s="379">
        <f t="shared" si="3"/>
        <v>69.444444444444443</v>
      </c>
      <c r="E67" s="379">
        <f t="shared" si="3"/>
        <v>81.588235294117652</v>
      </c>
      <c r="F67" s="379">
        <f t="shared" si="3"/>
        <v>76.708333333333329</v>
      </c>
      <c r="G67" s="379">
        <f t="shared" si="3"/>
        <v>79.16</v>
      </c>
      <c r="H67" s="379">
        <f t="shared" si="3"/>
        <v>72.228260869565219</v>
      </c>
      <c r="I67" s="379">
        <f t="shared" si="3"/>
        <v>86.1</v>
      </c>
      <c r="J67" s="379">
        <f t="shared" si="3"/>
        <v>68.223684210526315</v>
      </c>
      <c r="K67" s="379">
        <f t="shared" si="3"/>
        <v>59.75</v>
      </c>
      <c r="L67" s="379">
        <f t="shared" si="3"/>
        <v>78.71875</v>
      </c>
      <c r="M67" s="379"/>
      <c r="N67" s="379">
        <f t="shared" si="3"/>
        <v>69.529411764705884</v>
      </c>
      <c r="O67" s="379">
        <f t="shared" si="3"/>
        <v>49.285714285714285</v>
      </c>
      <c r="P67" s="379">
        <f t="shared" si="3"/>
        <v>66.230769230769226</v>
      </c>
    </row>
    <row r="68" spans="1:20">
      <c r="A68" s="339" t="s">
        <v>54</v>
      </c>
      <c r="C68" s="379">
        <f>IF(C67&lt;5, 5,C67)</f>
        <v>65.125</v>
      </c>
      <c r="D68" s="379">
        <f t="shared" ref="D68:N68" si="4">IF(D67&lt;5, 5,D67)</f>
        <v>69.444444444444443</v>
      </c>
      <c r="E68" s="379">
        <f t="shared" si="4"/>
        <v>81.588235294117652</v>
      </c>
      <c r="F68" s="379">
        <f t="shared" si="4"/>
        <v>76.708333333333329</v>
      </c>
      <c r="G68" s="379">
        <f t="shared" si="4"/>
        <v>79.16</v>
      </c>
      <c r="H68" s="379">
        <f t="shared" si="4"/>
        <v>72.228260869565219</v>
      </c>
      <c r="I68" s="379">
        <f t="shared" si="4"/>
        <v>86.1</v>
      </c>
      <c r="J68" s="379">
        <f t="shared" si="4"/>
        <v>68.223684210526315</v>
      </c>
      <c r="K68" s="379">
        <f t="shared" si="4"/>
        <v>59.75</v>
      </c>
      <c r="L68" s="379">
        <f t="shared" si="4"/>
        <v>78.71875</v>
      </c>
      <c r="M68" s="379"/>
      <c r="N68" s="379">
        <f t="shared" si="4"/>
        <v>69.529411764705884</v>
      </c>
      <c r="O68" s="379">
        <v>49.3</v>
      </c>
      <c r="P68" s="379">
        <v>66.2</v>
      </c>
    </row>
    <row r="69" spans="1:20">
      <c r="T69" s="338" t="s">
        <v>154</v>
      </c>
    </row>
    <row r="70" spans="1:20">
      <c r="A70" s="339" t="s">
        <v>184</v>
      </c>
      <c r="C70" s="168">
        <f>COUNTA(C3:C65)</f>
        <v>16</v>
      </c>
      <c r="D70" s="168">
        <f t="shared" ref="D70:P70" si="5">COUNTA(D3:D65)</f>
        <v>18</v>
      </c>
      <c r="E70" s="168">
        <f t="shared" si="5"/>
        <v>17</v>
      </c>
      <c r="F70" s="168">
        <f t="shared" si="5"/>
        <v>24</v>
      </c>
      <c r="G70" s="168">
        <f t="shared" si="5"/>
        <v>25</v>
      </c>
      <c r="H70" s="168">
        <f t="shared" si="5"/>
        <v>23</v>
      </c>
      <c r="I70" s="168">
        <f t="shared" si="5"/>
        <v>25</v>
      </c>
      <c r="J70" s="168">
        <f t="shared" si="5"/>
        <v>19</v>
      </c>
      <c r="K70" s="168">
        <f t="shared" si="5"/>
        <v>18</v>
      </c>
      <c r="L70" s="168">
        <f t="shared" si="5"/>
        <v>16</v>
      </c>
      <c r="M70" s="168">
        <f t="shared" si="5"/>
        <v>0</v>
      </c>
      <c r="N70" s="168">
        <f t="shared" si="5"/>
        <v>17</v>
      </c>
      <c r="O70" s="168">
        <f t="shared" si="5"/>
        <v>7</v>
      </c>
      <c r="P70" s="168">
        <f t="shared" si="5"/>
        <v>13</v>
      </c>
      <c r="T70" s="338" t="s">
        <v>155</v>
      </c>
    </row>
    <row r="71" spans="1:20">
      <c r="B71" s="339" t="s">
        <v>322</v>
      </c>
      <c r="C71" s="339">
        <f>RANK(C68,$C$68:$P$68)</f>
        <v>11</v>
      </c>
      <c r="D71" s="339">
        <f t="shared" ref="D71:P71" si="6">RANK(D68,$C$68:$P$68)</f>
        <v>8</v>
      </c>
      <c r="E71" s="339">
        <f t="shared" si="6"/>
        <v>2</v>
      </c>
      <c r="F71" s="339">
        <f t="shared" si="6"/>
        <v>5</v>
      </c>
      <c r="G71" s="339">
        <f t="shared" si="6"/>
        <v>3</v>
      </c>
      <c r="H71" s="339">
        <f t="shared" si="6"/>
        <v>6</v>
      </c>
      <c r="I71" s="339">
        <f t="shared" si="6"/>
        <v>1</v>
      </c>
      <c r="J71" s="339">
        <f t="shared" si="6"/>
        <v>9</v>
      </c>
      <c r="K71" s="339">
        <f t="shared" si="6"/>
        <v>12</v>
      </c>
      <c r="L71" s="339">
        <f t="shared" si="6"/>
        <v>4</v>
      </c>
      <c r="M71" s="339"/>
      <c r="N71" s="339">
        <f t="shared" si="6"/>
        <v>7</v>
      </c>
      <c r="O71" s="339">
        <f t="shared" si="6"/>
        <v>13</v>
      </c>
      <c r="P71" s="339">
        <f t="shared" si="6"/>
        <v>10</v>
      </c>
    </row>
  </sheetData>
  <phoneticPr fontId="23" type="noConversion"/>
  <printOptions gridLines="1"/>
  <pageMargins left="0.75" right="0.75" top="1" bottom="1" header="0.5" footer="0.5"/>
  <pageSetup scale="50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C26"/>
  <sheetViews>
    <sheetView zoomScale="75" workbookViewId="0"/>
  </sheetViews>
  <sheetFormatPr defaultColWidth="8.85546875" defaultRowHeight="12.75"/>
  <cols>
    <col min="1" max="1" width="50.85546875" customWidth="1"/>
  </cols>
  <sheetData>
    <row r="1" spans="1:3" ht="18.75">
      <c r="A1" s="7" t="s">
        <v>223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24"/>
      <c r="B4" s="23" t="s">
        <v>9</v>
      </c>
      <c r="C4" s="20"/>
    </row>
    <row r="5" spans="1:3" ht="15">
      <c r="A5" s="344" t="s">
        <v>194</v>
      </c>
      <c r="B5" s="443">
        <v>50</v>
      </c>
    </row>
    <row r="6" spans="1:3" ht="15">
      <c r="A6" s="344" t="s">
        <v>195</v>
      </c>
      <c r="B6" s="443">
        <v>50</v>
      </c>
    </row>
    <row r="7" spans="1:3" ht="15">
      <c r="A7" s="344" t="s">
        <v>196</v>
      </c>
      <c r="B7" s="443">
        <v>50</v>
      </c>
    </row>
    <row r="8" spans="1:3" s="248" customFormat="1" ht="15">
      <c r="A8" s="421" t="s">
        <v>197</v>
      </c>
      <c r="B8" s="443">
        <v>50</v>
      </c>
    </row>
    <row r="9" spans="1:3" ht="15">
      <c r="A9" s="344" t="s">
        <v>198</v>
      </c>
      <c r="B9" s="443">
        <v>50</v>
      </c>
    </row>
    <row r="10" spans="1:3" ht="15">
      <c r="A10" s="344" t="s">
        <v>199</v>
      </c>
      <c r="B10" s="443">
        <v>50</v>
      </c>
    </row>
    <row r="11" spans="1:3" ht="15">
      <c r="A11" s="421" t="s">
        <v>200</v>
      </c>
      <c r="B11" s="443">
        <v>50</v>
      </c>
    </row>
    <row r="12" spans="1:3" ht="15">
      <c r="A12" s="344" t="s">
        <v>212</v>
      </c>
      <c r="B12" s="443">
        <v>50</v>
      </c>
    </row>
    <row r="13" spans="1:3" ht="15">
      <c r="A13" s="344" t="s">
        <v>214</v>
      </c>
      <c r="B13" s="443">
        <v>50</v>
      </c>
    </row>
    <row r="14" spans="1:3" s="143" customFormat="1" ht="15">
      <c r="A14" s="344" t="s">
        <v>215</v>
      </c>
      <c r="B14" s="443">
        <v>50</v>
      </c>
    </row>
    <row r="15" spans="1:3" ht="15">
      <c r="A15" s="438" t="s">
        <v>250</v>
      </c>
      <c r="B15" s="443" t="s">
        <v>249</v>
      </c>
    </row>
    <row r="16" spans="1:3" ht="15">
      <c r="A16" s="344" t="s">
        <v>217</v>
      </c>
      <c r="B16" s="443">
        <v>50</v>
      </c>
    </row>
    <row r="17" spans="1:2" ht="15">
      <c r="A17" s="438" t="s">
        <v>251</v>
      </c>
      <c r="B17" s="443" t="s">
        <v>249</v>
      </c>
    </row>
    <row r="18" spans="1:2" ht="15">
      <c r="A18" s="438" t="s">
        <v>252</v>
      </c>
      <c r="B18" s="443" t="s">
        <v>249</v>
      </c>
    </row>
    <row r="19" spans="1:2" ht="15">
      <c r="A19" s="420"/>
      <c r="B19" s="430" t="s">
        <v>46</v>
      </c>
    </row>
    <row r="20" spans="1:2">
      <c r="B20" s="338" t="s">
        <v>166</v>
      </c>
    </row>
    <row r="21" spans="1:2">
      <c r="A21" s="22"/>
    </row>
    <row r="22" spans="1:2">
      <c r="A22" s="22"/>
    </row>
    <row r="23" spans="1:2">
      <c r="A23" s="22"/>
    </row>
    <row r="24" spans="1:2">
      <c r="A24" s="22"/>
    </row>
    <row r="25" spans="1:2">
      <c r="A25" s="22"/>
    </row>
    <row r="26" spans="1:2">
      <c r="A26" s="22"/>
    </row>
  </sheetData>
  <phoneticPr fontId="23" type="noConversion"/>
  <printOptions gridLines="1"/>
  <pageMargins left="0.75" right="0.75" top="1" bottom="1" header="0.5" footer="0.5"/>
  <pageSetup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35"/>
  <sheetViews>
    <sheetView workbookViewId="0">
      <selection activeCell="C24" sqref="C24"/>
    </sheetView>
  </sheetViews>
  <sheetFormatPr defaultColWidth="8.85546875" defaultRowHeight="12.75"/>
  <cols>
    <col min="1" max="1" width="25.42578125" customWidth="1"/>
    <col min="2" max="2" width="11.42578125" bestFit="1" customWidth="1"/>
    <col min="3" max="3" width="12.42578125" customWidth="1"/>
    <col min="4" max="4" width="9.140625" hidden="1" customWidth="1"/>
    <col min="5" max="5" width="8.85546875" style="214"/>
    <col min="7" max="7" width="16.42578125" hidden="1" customWidth="1"/>
    <col min="8" max="8" width="11.42578125" customWidth="1"/>
    <col min="9" max="9" width="13.42578125" customWidth="1"/>
    <col min="10" max="10" width="13.140625" customWidth="1"/>
  </cols>
  <sheetData>
    <row r="1" spans="1:13" ht="18.75">
      <c r="A1" s="7" t="s">
        <v>213</v>
      </c>
      <c r="B1" s="6"/>
      <c r="C1" s="6"/>
      <c r="D1" s="6"/>
    </row>
    <row r="2" spans="1:13" s="67" customFormat="1">
      <c r="A2" s="38"/>
      <c r="B2" s="38"/>
      <c r="C2" s="38"/>
      <c r="D2" s="38"/>
      <c r="E2" s="214"/>
    </row>
    <row r="3" spans="1:13" s="67" customFormat="1">
      <c r="A3" s="38"/>
      <c r="B3" s="68"/>
      <c r="C3" s="82"/>
      <c r="D3" s="38"/>
      <c r="E3" s="214"/>
    </row>
    <row r="4" spans="1:13" s="67" customFormat="1">
      <c r="A4" s="38"/>
      <c r="B4" s="68"/>
      <c r="C4" s="82"/>
      <c r="D4" s="38"/>
      <c r="E4" s="214"/>
    </row>
    <row r="5" spans="1:13" s="67" customFormat="1" ht="18">
      <c r="A5" s="24"/>
      <c r="B5" s="24"/>
      <c r="C5" s="24"/>
      <c r="D5" s="38"/>
      <c r="E5" s="214"/>
      <c r="H5" s="346"/>
    </row>
    <row r="6" spans="1:13" ht="51">
      <c r="A6" s="133" t="s">
        <v>128</v>
      </c>
      <c r="B6" s="133"/>
      <c r="C6" s="133" t="s">
        <v>69</v>
      </c>
      <c r="D6" s="133"/>
      <c r="E6" s="289" t="s">
        <v>160</v>
      </c>
      <c r="F6" s="289"/>
      <c r="G6" s="289"/>
      <c r="H6" s="289" t="s">
        <v>125</v>
      </c>
      <c r="I6" s="289" t="s">
        <v>126</v>
      </c>
      <c r="J6" s="289" t="s">
        <v>127</v>
      </c>
      <c r="K6" s="289"/>
      <c r="L6" s="289" t="s">
        <v>163</v>
      </c>
      <c r="M6" s="289" t="s">
        <v>28</v>
      </c>
    </row>
    <row r="7" spans="1:13">
      <c r="A7" s="337" t="s">
        <v>156</v>
      </c>
      <c r="C7" s="440">
        <v>14375</v>
      </c>
      <c r="D7" s="283"/>
      <c r="E7" s="352">
        <f t="shared" ref="E7:E16" si="0">-($B$25*C7)+$B$26</f>
        <v>10.556248441007732</v>
      </c>
      <c r="F7" s="54"/>
      <c r="H7" s="441">
        <v>10</v>
      </c>
      <c r="I7" s="441">
        <v>10</v>
      </c>
      <c r="J7" s="442">
        <v>9</v>
      </c>
      <c r="K7" s="54"/>
      <c r="L7" s="275">
        <f>IF(SUM(E7:J7)&lt;2.5,2.5,SUM(E7:J7))</f>
        <v>39.556248441007732</v>
      </c>
      <c r="M7" s="273">
        <f>RANK(L7,$L$7:$L$20)</f>
        <v>3</v>
      </c>
    </row>
    <row r="8" spans="1:13">
      <c r="A8" s="337" t="s">
        <v>195</v>
      </c>
      <c r="C8" s="440">
        <v>13169</v>
      </c>
      <c r="D8" s="284"/>
      <c r="E8" s="352">
        <f t="shared" si="0"/>
        <v>13.564479920179593</v>
      </c>
      <c r="F8" s="54"/>
      <c r="H8" s="441">
        <v>10</v>
      </c>
      <c r="I8" s="441">
        <v>8</v>
      </c>
      <c r="J8" s="442">
        <v>7</v>
      </c>
      <c r="K8" s="54"/>
      <c r="L8" s="275">
        <f t="shared" ref="L8:L20" si="1">IF(SUM(E8:J8)&lt;2.5,2.5,SUM(E8:J8))</f>
        <v>38.564479920179593</v>
      </c>
      <c r="M8" s="273">
        <f t="shared" ref="M8:M20" si="2">RANK(L8,$L$7:$L$20)</f>
        <v>4</v>
      </c>
    </row>
    <row r="9" spans="1:13">
      <c r="A9" s="337" t="s">
        <v>202</v>
      </c>
      <c r="C9" s="440">
        <v>14896</v>
      </c>
      <c r="D9" s="285"/>
      <c r="E9" s="352">
        <f t="shared" si="0"/>
        <v>9.2566724869044634</v>
      </c>
      <c r="F9" s="54"/>
      <c r="H9" s="441">
        <v>10</v>
      </c>
      <c r="I9" s="441">
        <v>8</v>
      </c>
      <c r="J9" s="442">
        <v>3</v>
      </c>
      <c r="K9" s="54"/>
      <c r="L9" s="275">
        <f t="shared" si="1"/>
        <v>30.256672486904463</v>
      </c>
      <c r="M9" s="273">
        <f t="shared" si="2"/>
        <v>9</v>
      </c>
    </row>
    <row r="10" spans="1:13" s="271" customFormat="1">
      <c r="A10" s="343" t="s">
        <v>197</v>
      </c>
      <c r="B10"/>
      <c r="C10" s="448">
        <v>18607</v>
      </c>
      <c r="D10" s="286"/>
      <c r="E10" s="352">
        <f t="shared" si="0"/>
        <v>0</v>
      </c>
      <c r="F10" s="54"/>
      <c r="G10"/>
      <c r="H10" s="441">
        <v>6</v>
      </c>
      <c r="I10" s="441">
        <v>6</v>
      </c>
      <c r="J10" s="442">
        <v>6</v>
      </c>
      <c r="K10" s="54"/>
      <c r="L10" s="275">
        <f t="shared" si="1"/>
        <v>18</v>
      </c>
      <c r="M10" s="273">
        <f t="shared" si="2"/>
        <v>11</v>
      </c>
    </row>
    <row r="11" spans="1:13" s="271" customFormat="1">
      <c r="A11" s="337" t="s">
        <v>198</v>
      </c>
      <c r="B11"/>
      <c r="C11" s="440">
        <v>12127</v>
      </c>
      <c r="D11" s="285"/>
      <c r="E11" s="352">
        <f t="shared" si="0"/>
        <v>16.16363182838613</v>
      </c>
      <c r="F11" s="54"/>
      <c r="G11"/>
      <c r="H11" s="441">
        <v>7</v>
      </c>
      <c r="I11" s="441">
        <v>7</v>
      </c>
      <c r="J11" s="442">
        <v>6</v>
      </c>
      <c r="K11" s="54"/>
      <c r="L11" s="275">
        <f t="shared" si="1"/>
        <v>36.16363182838613</v>
      </c>
      <c r="M11" s="273">
        <f t="shared" si="2"/>
        <v>6</v>
      </c>
    </row>
    <row r="12" spans="1:13" s="271" customFormat="1" ht="15">
      <c r="A12" s="344" t="s">
        <v>201</v>
      </c>
      <c r="B12"/>
      <c r="C12" s="440">
        <v>10589</v>
      </c>
      <c r="D12" s="285"/>
      <c r="E12" s="352">
        <f t="shared" si="0"/>
        <v>20</v>
      </c>
      <c r="F12" s="54"/>
      <c r="G12"/>
      <c r="H12" s="441">
        <v>10</v>
      </c>
      <c r="I12" s="441">
        <v>8</v>
      </c>
      <c r="J12" s="442">
        <v>8</v>
      </c>
      <c r="K12" s="54"/>
      <c r="L12" s="275">
        <f t="shared" si="1"/>
        <v>46</v>
      </c>
      <c r="M12" s="273">
        <f t="shared" si="2"/>
        <v>1</v>
      </c>
    </row>
    <row r="13" spans="1:13">
      <c r="A13" s="343" t="s">
        <v>200</v>
      </c>
      <c r="C13" s="440">
        <v>11506</v>
      </c>
      <c r="D13" s="283"/>
      <c r="E13" s="352">
        <f t="shared" si="0"/>
        <v>17.712646545273135</v>
      </c>
      <c r="F13" s="54"/>
      <c r="H13" s="441">
        <v>10</v>
      </c>
      <c r="I13" s="441">
        <v>10</v>
      </c>
      <c r="J13" s="442">
        <v>7</v>
      </c>
      <c r="K13" s="54"/>
      <c r="L13" s="275">
        <f t="shared" si="1"/>
        <v>44.712646545273131</v>
      </c>
      <c r="M13" s="273">
        <f t="shared" si="2"/>
        <v>2</v>
      </c>
    </row>
    <row r="14" spans="1:13" ht="15">
      <c r="A14" s="344" t="s">
        <v>212</v>
      </c>
      <c r="C14" s="440">
        <v>12500</v>
      </c>
      <c r="D14" s="283"/>
      <c r="E14" s="352">
        <f t="shared" si="0"/>
        <v>15.233225243202792</v>
      </c>
      <c r="F14" s="54"/>
      <c r="H14" s="441">
        <v>10</v>
      </c>
      <c r="I14" s="441">
        <v>5</v>
      </c>
      <c r="J14" s="442">
        <v>0</v>
      </c>
      <c r="K14" s="54"/>
      <c r="L14" s="275">
        <f t="shared" si="1"/>
        <v>30.233225243202792</v>
      </c>
      <c r="M14" s="273">
        <f t="shared" si="2"/>
        <v>10</v>
      </c>
    </row>
    <row r="15" spans="1:13" ht="15">
      <c r="A15" s="344" t="s">
        <v>214</v>
      </c>
      <c r="C15" s="440">
        <v>14282</v>
      </c>
      <c r="D15" s="283"/>
      <c r="E15" s="352">
        <f t="shared" si="0"/>
        <v>10.78822649039661</v>
      </c>
      <c r="F15" s="54"/>
      <c r="H15" s="441">
        <v>10</v>
      </c>
      <c r="I15" s="441">
        <v>10</v>
      </c>
      <c r="J15" s="442">
        <v>7</v>
      </c>
      <c r="K15" s="54"/>
      <c r="L15" s="275">
        <f t="shared" si="1"/>
        <v>37.78822649039661</v>
      </c>
      <c r="M15" s="273">
        <f t="shared" si="2"/>
        <v>5</v>
      </c>
    </row>
    <row r="16" spans="1:13" ht="15">
      <c r="A16" s="344" t="s">
        <v>215</v>
      </c>
      <c r="C16" s="440">
        <v>11623</v>
      </c>
      <c r="D16" s="287"/>
      <c r="E16" s="352">
        <f t="shared" si="0"/>
        <v>17.420803192816162</v>
      </c>
      <c r="F16" s="54"/>
      <c r="H16" s="441">
        <v>6</v>
      </c>
      <c r="I16" s="441">
        <v>5</v>
      </c>
      <c r="J16" s="442">
        <v>3</v>
      </c>
      <c r="K16" s="54"/>
      <c r="L16" s="275">
        <f t="shared" si="1"/>
        <v>31.420803192816162</v>
      </c>
      <c r="M16" s="273">
        <f t="shared" si="2"/>
        <v>8</v>
      </c>
    </row>
    <row r="17" spans="1:13" ht="30">
      <c r="A17" s="438" t="s">
        <v>250</v>
      </c>
      <c r="C17" s="440"/>
      <c r="D17" s="288"/>
      <c r="E17" s="352"/>
      <c r="F17" s="54"/>
      <c r="H17" s="441"/>
      <c r="I17" s="441"/>
      <c r="J17" s="442"/>
      <c r="K17" s="54"/>
      <c r="L17" s="275"/>
      <c r="M17" s="273"/>
    </row>
    <row r="18" spans="1:13" s="143" customFormat="1" ht="15">
      <c r="A18" s="344" t="s">
        <v>217</v>
      </c>
      <c r="B18"/>
      <c r="C18" s="440">
        <v>14356</v>
      </c>
      <c r="D18" s="285"/>
      <c r="E18" s="352">
        <f>-($B$25*C18)+$B$26</f>
        <v>10.60364180593664</v>
      </c>
      <c r="F18" s="54"/>
      <c r="G18"/>
      <c r="H18" s="441">
        <v>10</v>
      </c>
      <c r="I18" s="441">
        <v>8</v>
      </c>
      <c r="J18" s="442">
        <v>7</v>
      </c>
      <c r="K18" s="54"/>
      <c r="L18" s="275">
        <f t="shared" si="1"/>
        <v>35.60364180593664</v>
      </c>
      <c r="M18" s="273">
        <f t="shared" si="2"/>
        <v>7</v>
      </c>
    </row>
    <row r="19" spans="1:13" s="143" customFormat="1" ht="15">
      <c r="A19" s="438" t="s">
        <v>251</v>
      </c>
      <c r="B19"/>
      <c r="C19" s="440"/>
      <c r="D19" s="285"/>
      <c r="E19" s="352"/>
      <c r="F19" s="54"/>
      <c r="G19"/>
      <c r="H19" s="441"/>
      <c r="I19" s="441"/>
      <c r="J19" s="442"/>
      <c r="K19" s="54"/>
      <c r="L19" s="275"/>
      <c r="M19" s="273"/>
    </row>
    <row r="20" spans="1:13" s="143" customFormat="1" ht="30">
      <c r="A20" s="438" t="s">
        <v>252</v>
      </c>
      <c r="B20"/>
      <c r="C20" s="440">
        <v>15122</v>
      </c>
      <c r="D20" s="285"/>
      <c r="E20" s="352">
        <f>-($B$25*C20)+$B$26</f>
        <v>8.6929408830132218</v>
      </c>
      <c r="F20" s="54"/>
      <c r="G20"/>
      <c r="H20" s="441"/>
      <c r="I20" s="441"/>
      <c r="J20" s="442"/>
      <c r="K20" s="54"/>
      <c r="L20" s="275">
        <f t="shared" si="1"/>
        <v>8.6929408830132218</v>
      </c>
      <c r="M20" s="273">
        <f t="shared" si="2"/>
        <v>12</v>
      </c>
    </row>
    <row r="21" spans="1:13" ht="15">
      <c r="A21" s="310"/>
      <c r="B21" s="58"/>
      <c r="C21" s="197"/>
      <c r="D21" s="6"/>
      <c r="M21" s="347"/>
    </row>
    <row r="22" spans="1:13" ht="15">
      <c r="A22" s="353" t="s">
        <v>139</v>
      </c>
      <c r="B22" s="58"/>
      <c r="C22" s="197"/>
      <c r="D22" s="6"/>
      <c r="L22" s="338" t="s">
        <v>165</v>
      </c>
    </row>
    <row r="23" spans="1:13">
      <c r="A23" s="132" t="s">
        <v>140</v>
      </c>
      <c r="B23" s="40"/>
      <c r="C23" s="52"/>
      <c r="D23" s="6"/>
    </row>
    <row r="24" spans="1:13">
      <c r="A24" s="132" t="s">
        <v>141</v>
      </c>
      <c r="B24" s="40"/>
      <c r="C24" s="52"/>
      <c r="D24" s="6"/>
    </row>
    <row r="25" spans="1:13">
      <c r="A25" s="132" t="s">
        <v>142</v>
      </c>
      <c r="B25" s="320">
        <f>20/(B28-B27)</f>
        <v>2.4943876278373661E-3</v>
      </c>
      <c r="C25" s="52"/>
      <c r="D25" s="6"/>
    </row>
    <row r="26" spans="1:13">
      <c r="A26" s="132" t="s">
        <v>143</v>
      </c>
      <c r="B26" s="40">
        <f>20+(B25*B27)</f>
        <v>46.41307059116987</v>
      </c>
      <c r="C26" s="52"/>
      <c r="D26" s="6"/>
    </row>
    <row r="27" spans="1:13">
      <c r="A27" s="132" t="s">
        <v>82</v>
      </c>
      <c r="B27" s="318">
        <f>MIN(C7:C20)</f>
        <v>10589</v>
      </c>
      <c r="C27" s="52"/>
      <c r="D27" s="6"/>
    </row>
    <row r="28" spans="1:13">
      <c r="A28" s="49" t="s">
        <v>144</v>
      </c>
      <c r="B28" s="319">
        <f>MAX(C7:C20)</f>
        <v>18607</v>
      </c>
      <c r="C28" s="52"/>
      <c r="D28" s="6"/>
    </row>
    <row r="29" spans="1:13">
      <c r="A29" s="49" t="s">
        <v>145</v>
      </c>
      <c r="B29" s="317">
        <v>20</v>
      </c>
      <c r="C29" s="52"/>
      <c r="D29" s="6"/>
    </row>
    <row r="30" spans="1:13">
      <c r="A30" s="49"/>
      <c r="B30" s="40"/>
      <c r="C30" s="52"/>
      <c r="D30" s="6"/>
    </row>
    <row r="31" spans="1:13">
      <c r="A31" s="351" t="s">
        <v>162</v>
      </c>
      <c r="B31" s="40"/>
      <c r="C31" s="52"/>
      <c r="D31" s="6"/>
      <c r="H31" s="338" t="s">
        <v>161</v>
      </c>
    </row>
    <row r="32" spans="1:13">
      <c r="A32" s="50"/>
      <c r="B32" s="40"/>
      <c r="C32" s="52"/>
    </row>
    <row r="33" spans="1:3">
      <c r="A33" s="1"/>
      <c r="B33" s="24"/>
      <c r="C33" s="1"/>
    </row>
    <row r="34" spans="1:3">
      <c r="A34" s="1"/>
      <c r="B34" s="1"/>
      <c r="C34" s="1"/>
    </row>
    <row r="35" spans="1:3">
      <c r="A35" s="1"/>
      <c r="B35" s="1"/>
      <c r="C35" s="1"/>
    </row>
  </sheetData>
  <phoneticPr fontId="23" type="noConversion"/>
  <printOptions gridLines="1"/>
  <pageMargins left="0.75" right="0.75" top="1" bottom="1" header="0.5" footer="0.5"/>
  <pageSetup scale="77" orientation="landscape" horizontalDpi="4294967294" verticalDpi="204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Q38"/>
  <sheetViews>
    <sheetView workbookViewId="0"/>
  </sheetViews>
  <sheetFormatPr defaultColWidth="8.85546875" defaultRowHeight="12.75"/>
  <cols>
    <col min="1" max="1" width="42" customWidth="1"/>
    <col min="2" max="11" width="7.7109375" style="458" customWidth="1"/>
    <col min="12" max="12" width="10" style="3" bestFit="1" customWidth="1"/>
    <col min="13" max="13" width="7.42578125" style="3" customWidth="1"/>
    <col min="14" max="14" width="8.85546875" style="3" customWidth="1"/>
  </cols>
  <sheetData>
    <row r="1" spans="1:17" ht="18.75">
      <c r="A1" s="45" t="s">
        <v>222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31"/>
      <c r="M1" s="32"/>
      <c r="N1" s="31"/>
    </row>
    <row r="2" spans="1:17" ht="20.25">
      <c r="A2" s="262" t="s">
        <v>46</v>
      </c>
      <c r="B2" s="455"/>
      <c r="C2" s="455"/>
      <c r="D2" s="455"/>
      <c r="E2" s="455"/>
      <c r="F2" s="455"/>
      <c r="G2" s="456"/>
      <c r="H2" s="455"/>
      <c r="I2" s="457"/>
      <c r="J2" s="455"/>
      <c r="K2" s="455"/>
      <c r="L2" s="43"/>
      <c r="M2" s="180"/>
      <c r="N2" s="43"/>
      <c r="O2" s="338"/>
    </row>
    <row r="3" spans="1:17" s="3" customFormat="1">
      <c r="A3" s="169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44" t="s">
        <v>76</v>
      </c>
      <c r="M3" s="44" t="s">
        <v>54</v>
      </c>
      <c r="N3" s="46" t="s">
        <v>28</v>
      </c>
      <c r="O3" s="405"/>
      <c r="P3" s="405"/>
      <c r="Q3" s="406"/>
    </row>
    <row r="4" spans="1:17" ht="15">
      <c r="A4" s="337" t="s">
        <v>156</v>
      </c>
      <c r="B4" s="290">
        <v>35</v>
      </c>
      <c r="C4" s="290">
        <v>39.5</v>
      </c>
      <c r="D4" s="290">
        <v>44</v>
      </c>
      <c r="E4" s="290">
        <v>47</v>
      </c>
      <c r="F4" s="290">
        <v>45</v>
      </c>
      <c r="G4" s="290">
        <v>36</v>
      </c>
      <c r="H4" s="290">
        <v>33</v>
      </c>
      <c r="I4" s="290">
        <v>41</v>
      </c>
      <c r="J4" s="290"/>
      <c r="K4" s="290"/>
      <c r="L4" s="404">
        <f>AVERAGE(B4:K4)</f>
        <v>40.0625</v>
      </c>
      <c r="M4" s="350">
        <f>IF(L4&lt;2.5,2.5,L4)</f>
        <v>40.0625</v>
      </c>
      <c r="N4" s="47">
        <f t="shared" ref="N4:N13" si="0">RANK(M4,$M$4:$M$17)</f>
        <v>4</v>
      </c>
      <c r="O4" s="407"/>
      <c r="P4" s="407"/>
      <c r="Q4" s="408"/>
    </row>
    <row r="5" spans="1:17" ht="15">
      <c r="A5" s="337" t="s">
        <v>195</v>
      </c>
      <c r="B5" s="290">
        <v>28</v>
      </c>
      <c r="C5" s="290">
        <v>35.5</v>
      </c>
      <c r="D5" s="290">
        <v>39</v>
      </c>
      <c r="E5" s="290">
        <v>29</v>
      </c>
      <c r="F5" s="290">
        <v>38</v>
      </c>
      <c r="G5" s="290">
        <v>38.5</v>
      </c>
      <c r="H5" s="290">
        <v>26</v>
      </c>
      <c r="I5" s="290">
        <v>32.5</v>
      </c>
      <c r="J5" s="290">
        <v>32.5</v>
      </c>
      <c r="K5" s="290"/>
      <c r="L5" s="404">
        <f t="shared" ref="L5:L13" si="1">AVERAGE(B5:K5)</f>
        <v>33.222222222222221</v>
      </c>
      <c r="M5" s="350">
        <f t="shared" ref="M5:M13" si="2">IF(L5&lt;2.5,2.5,L5)</f>
        <v>33.222222222222221</v>
      </c>
      <c r="N5" s="47">
        <f t="shared" si="0"/>
        <v>7</v>
      </c>
      <c r="O5" s="407"/>
      <c r="P5" s="407"/>
      <c r="Q5" s="408"/>
    </row>
    <row r="6" spans="1:17" ht="15">
      <c r="A6" s="337" t="s">
        <v>202</v>
      </c>
      <c r="B6" s="290">
        <v>47.5</v>
      </c>
      <c r="C6" s="290">
        <v>44</v>
      </c>
      <c r="D6" s="290">
        <v>38</v>
      </c>
      <c r="E6" s="290">
        <v>50</v>
      </c>
      <c r="F6" s="290">
        <v>44</v>
      </c>
      <c r="G6" s="290">
        <v>42</v>
      </c>
      <c r="H6" s="290">
        <v>42.5</v>
      </c>
      <c r="I6" s="290">
        <v>42</v>
      </c>
      <c r="J6" s="290">
        <v>46.5</v>
      </c>
      <c r="K6" s="290">
        <v>46</v>
      </c>
      <c r="L6" s="404">
        <f t="shared" si="1"/>
        <v>44.25</v>
      </c>
      <c r="M6" s="350">
        <f t="shared" si="2"/>
        <v>44.25</v>
      </c>
      <c r="N6" s="47">
        <f t="shared" si="0"/>
        <v>2</v>
      </c>
      <c r="O6" s="407"/>
      <c r="P6" s="407"/>
      <c r="Q6" s="408"/>
    </row>
    <row r="7" spans="1:17" s="214" customFormat="1" ht="15">
      <c r="A7" s="343" t="s">
        <v>197</v>
      </c>
      <c r="B7" s="290">
        <v>0</v>
      </c>
      <c r="C7" s="290">
        <v>0</v>
      </c>
      <c r="D7" s="290">
        <v>0</v>
      </c>
      <c r="E7" s="290">
        <v>0</v>
      </c>
      <c r="F7" s="290">
        <v>0</v>
      </c>
      <c r="G7" s="290">
        <v>0</v>
      </c>
      <c r="H7" s="290">
        <v>0</v>
      </c>
      <c r="I7" s="290">
        <v>0</v>
      </c>
      <c r="J7" s="290">
        <v>0</v>
      </c>
      <c r="K7" s="290">
        <v>0</v>
      </c>
      <c r="L7" s="404"/>
      <c r="M7" s="350"/>
      <c r="N7" s="47"/>
      <c r="O7" s="407"/>
      <c r="P7" s="407"/>
      <c r="Q7" s="408"/>
    </row>
    <row r="8" spans="1:17" ht="15">
      <c r="A8" s="337" t="s">
        <v>198</v>
      </c>
      <c r="B8" s="290">
        <v>33</v>
      </c>
      <c r="C8" s="290">
        <v>34.5</v>
      </c>
      <c r="D8" s="290">
        <v>39</v>
      </c>
      <c r="E8" s="290">
        <v>38.5</v>
      </c>
      <c r="F8" s="290">
        <v>39.5</v>
      </c>
      <c r="G8" s="290">
        <v>36</v>
      </c>
      <c r="H8" s="290">
        <v>45</v>
      </c>
      <c r="I8" s="290"/>
      <c r="J8" s="290"/>
      <c r="K8" s="290"/>
      <c r="L8" s="404">
        <f t="shared" si="1"/>
        <v>37.928571428571431</v>
      </c>
      <c r="M8" s="350">
        <f t="shared" si="2"/>
        <v>37.928571428571431</v>
      </c>
      <c r="N8" s="47">
        <f t="shared" si="0"/>
        <v>6</v>
      </c>
      <c r="O8" s="407"/>
      <c r="P8" s="407"/>
      <c r="Q8" s="408"/>
    </row>
    <row r="9" spans="1:17" ht="15">
      <c r="A9" s="344" t="s">
        <v>201</v>
      </c>
      <c r="B9" s="290">
        <v>37</v>
      </c>
      <c r="C9" s="290">
        <v>41.5</v>
      </c>
      <c r="D9" s="290">
        <v>34</v>
      </c>
      <c r="E9" s="290">
        <v>40.5</v>
      </c>
      <c r="F9" s="290">
        <v>48.5</v>
      </c>
      <c r="G9" s="290">
        <v>39</v>
      </c>
      <c r="H9" s="290">
        <v>35</v>
      </c>
      <c r="I9" s="290">
        <v>45</v>
      </c>
      <c r="J9" s="290">
        <v>35</v>
      </c>
      <c r="K9" s="290">
        <v>48</v>
      </c>
      <c r="L9" s="404">
        <f t="shared" si="1"/>
        <v>40.35</v>
      </c>
      <c r="M9" s="350">
        <f t="shared" si="2"/>
        <v>40.35</v>
      </c>
      <c r="N9" s="47">
        <f t="shared" si="0"/>
        <v>3</v>
      </c>
      <c r="O9" s="407"/>
      <c r="P9" s="407"/>
      <c r="Q9" s="408"/>
    </row>
    <row r="10" spans="1:17" ht="15">
      <c r="A10" s="343" t="s">
        <v>200</v>
      </c>
      <c r="B10" s="290">
        <v>45</v>
      </c>
      <c r="C10" s="290">
        <v>46.5</v>
      </c>
      <c r="D10" s="290">
        <v>42</v>
      </c>
      <c r="E10" s="290">
        <v>43.5</v>
      </c>
      <c r="F10" s="290">
        <v>47</v>
      </c>
      <c r="G10" s="290">
        <v>44</v>
      </c>
      <c r="H10" s="290">
        <v>47</v>
      </c>
      <c r="I10" s="290">
        <v>45</v>
      </c>
      <c r="J10" s="290"/>
      <c r="K10" s="290"/>
      <c r="L10" s="404">
        <f t="shared" si="1"/>
        <v>45</v>
      </c>
      <c r="M10" s="350">
        <f t="shared" si="2"/>
        <v>45</v>
      </c>
      <c r="N10" s="47">
        <f t="shared" si="0"/>
        <v>1</v>
      </c>
      <c r="O10" s="407"/>
      <c r="P10" s="407"/>
      <c r="Q10" s="408"/>
    </row>
    <row r="11" spans="1:17" ht="15">
      <c r="A11" s="344" t="s">
        <v>212</v>
      </c>
      <c r="B11" s="290">
        <v>36</v>
      </c>
      <c r="C11" s="290">
        <v>39</v>
      </c>
      <c r="D11" s="290">
        <v>31</v>
      </c>
      <c r="E11" s="290">
        <v>41</v>
      </c>
      <c r="F11" s="290">
        <v>50</v>
      </c>
      <c r="G11" s="290">
        <v>43.75</v>
      </c>
      <c r="H11" s="290">
        <v>31</v>
      </c>
      <c r="I11" s="290">
        <v>41</v>
      </c>
      <c r="J11" s="290">
        <v>41.5</v>
      </c>
      <c r="K11" s="290"/>
      <c r="L11" s="404">
        <f t="shared" si="1"/>
        <v>39.361111111111114</v>
      </c>
      <c r="M11" s="350">
        <f t="shared" si="2"/>
        <v>39.361111111111114</v>
      </c>
      <c r="N11" s="47">
        <f t="shared" si="0"/>
        <v>5</v>
      </c>
      <c r="O11" s="407"/>
      <c r="P11" s="407"/>
      <c r="Q11" s="408"/>
    </row>
    <row r="12" spans="1:17" ht="15">
      <c r="A12" s="344" t="s">
        <v>214</v>
      </c>
      <c r="B12" s="290">
        <v>0</v>
      </c>
      <c r="C12" s="290">
        <v>0</v>
      </c>
      <c r="D12" s="290">
        <v>0</v>
      </c>
      <c r="E12" s="290">
        <v>0</v>
      </c>
      <c r="F12" s="290">
        <v>0</v>
      </c>
      <c r="G12" s="290">
        <v>0</v>
      </c>
      <c r="H12" s="290">
        <v>0</v>
      </c>
      <c r="I12" s="290">
        <v>0</v>
      </c>
      <c r="J12" s="290">
        <v>0</v>
      </c>
      <c r="K12" s="290">
        <v>0</v>
      </c>
      <c r="L12" s="404"/>
      <c r="M12" s="350"/>
      <c r="N12" s="47"/>
      <c r="O12" s="407"/>
      <c r="P12" s="407"/>
      <c r="Q12" s="408"/>
    </row>
    <row r="13" spans="1:17" ht="15">
      <c r="A13" s="344" t="s">
        <v>215</v>
      </c>
      <c r="B13" s="290">
        <v>36</v>
      </c>
      <c r="C13" s="290">
        <v>35</v>
      </c>
      <c r="D13" s="290">
        <v>35</v>
      </c>
      <c r="E13" s="290">
        <v>26</v>
      </c>
      <c r="F13" s="290">
        <v>36</v>
      </c>
      <c r="G13" s="290">
        <v>34</v>
      </c>
      <c r="H13" s="290">
        <v>26.5</v>
      </c>
      <c r="I13" s="290">
        <v>28</v>
      </c>
      <c r="J13" s="290"/>
      <c r="K13" s="290"/>
      <c r="L13" s="404">
        <f t="shared" si="1"/>
        <v>32.0625</v>
      </c>
      <c r="M13" s="350">
        <f t="shared" si="2"/>
        <v>32.0625</v>
      </c>
      <c r="N13" s="47">
        <f t="shared" si="0"/>
        <v>8</v>
      </c>
      <c r="O13" s="407"/>
      <c r="P13" s="407"/>
      <c r="Q13" s="408"/>
    </row>
    <row r="14" spans="1:17" ht="15">
      <c r="A14" s="438" t="s">
        <v>237</v>
      </c>
      <c r="B14" s="290">
        <v>0</v>
      </c>
      <c r="C14" s="290">
        <v>0</v>
      </c>
      <c r="D14" s="290">
        <v>0</v>
      </c>
      <c r="E14" s="290">
        <v>0</v>
      </c>
      <c r="F14" s="290">
        <v>0</v>
      </c>
      <c r="G14" s="290">
        <v>0</v>
      </c>
      <c r="H14" s="290">
        <v>0</v>
      </c>
      <c r="I14" s="290">
        <v>0</v>
      </c>
      <c r="J14" s="290">
        <v>0</v>
      </c>
      <c r="K14" s="290">
        <v>0</v>
      </c>
      <c r="L14" s="404"/>
      <c r="M14" s="350"/>
      <c r="N14" s="47"/>
      <c r="O14" s="407"/>
      <c r="P14" s="407"/>
      <c r="Q14" s="408"/>
    </row>
    <row r="15" spans="1:17" ht="15">
      <c r="A15" s="344" t="s">
        <v>217</v>
      </c>
      <c r="B15" s="290">
        <v>0</v>
      </c>
      <c r="C15" s="290">
        <v>0</v>
      </c>
      <c r="D15" s="290">
        <v>0</v>
      </c>
      <c r="E15" s="290">
        <v>0</v>
      </c>
      <c r="F15" s="290">
        <v>0</v>
      </c>
      <c r="G15" s="290">
        <v>0</v>
      </c>
      <c r="H15" s="290">
        <v>0</v>
      </c>
      <c r="I15" s="290">
        <v>0</v>
      </c>
      <c r="J15" s="290">
        <v>0</v>
      </c>
      <c r="K15" s="290">
        <v>0</v>
      </c>
      <c r="L15" s="404"/>
      <c r="M15" s="350"/>
      <c r="N15" s="47"/>
      <c r="O15" s="407"/>
      <c r="P15" s="407"/>
      <c r="Q15" s="408"/>
    </row>
    <row r="16" spans="1:17" ht="15">
      <c r="A16" s="438" t="s">
        <v>239</v>
      </c>
      <c r="B16" s="290">
        <v>0</v>
      </c>
      <c r="C16" s="290">
        <v>0</v>
      </c>
      <c r="D16" s="290">
        <v>0</v>
      </c>
      <c r="E16" s="290">
        <v>0</v>
      </c>
      <c r="F16" s="290">
        <v>0</v>
      </c>
      <c r="G16" s="290">
        <v>0</v>
      </c>
      <c r="H16" s="290">
        <v>0</v>
      </c>
      <c r="I16" s="290">
        <v>0</v>
      </c>
      <c r="J16" s="290">
        <v>0</v>
      </c>
      <c r="K16" s="290">
        <v>0</v>
      </c>
      <c r="L16" s="404"/>
      <c r="M16" s="350"/>
      <c r="N16" s="47"/>
    </row>
    <row r="17" spans="1:14" s="143" customFormat="1" ht="15">
      <c r="A17" s="438" t="s">
        <v>238</v>
      </c>
      <c r="B17" s="382">
        <v>0</v>
      </c>
      <c r="C17" s="382">
        <v>0</v>
      </c>
      <c r="D17" s="382">
        <v>0</v>
      </c>
      <c r="E17" s="382">
        <v>0</v>
      </c>
      <c r="F17" s="382">
        <v>0</v>
      </c>
      <c r="G17" s="382">
        <v>0</v>
      </c>
      <c r="H17" s="382">
        <v>0</v>
      </c>
      <c r="I17" s="382">
        <v>0</v>
      </c>
      <c r="J17" s="382">
        <v>0</v>
      </c>
      <c r="K17" s="382">
        <v>0</v>
      </c>
      <c r="L17" s="404"/>
      <c r="M17" s="350"/>
      <c r="N17" s="47"/>
    </row>
    <row r="18" spans="1:14">
      <c r="B18" s="171"/>
      <c r="C18" s="171"/>
      <c r="D18" s="171"/>
      <c r="E18" s="171"/>
      <c r="F18" s="171"/>
      <c r="G18" s="454"/>
      <c r="H18" s="454"/>
      <c r="I18" s="454"/>
      <c r="J18" s="454"/>
      <c r="K18" s="454"/>
      <c r="L18" s="42"/>
      <c r="M18" s="42"/>
      <c r="N18" s="42"/>
    </row>
    <row r="19" spans="1:14">
      <c r="M19" s="338" t="s">
        <v>164</v>
      </c>
    </row>
    <row r="21" spans="1:14">
      <c r="B21" s="339" t="s">
        <v>46</v>
      </c>
    </row>
    <row r="30" spans="1:14">
      <c r="B30" s="459"/>
      <c r="C30" s="459"/>
      <c r="D30" s="459"/>
      <c r="E30" s="459"/>
      <c r="F30" s="459"/>
    </row>
    <row r="38" spans="2:6">
      <c r="B38" s="459"/>
      <c r="C38" s="459"/>
      <c r="D38" s="459"/>
      <c r="E38" s="459"/>
      <c r="F38" s="459"/>
    </row>
  </sheetData>
  <phoneticPr fontId="23" type="noConversion"/>
  <printOptions gridLines="1"/>
  <pageMargins left="0.75" right="0.75" top="1" bottom="1" header="0.5" footer="0.5"/>
  <pageSetup scale="75" orientation="landscape" horizont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25"/>
  <sheetViews>
    <sheetView workbookViewId="0">
      <selection activeCell="F24" sqref="F24"/>
    </sheetView>
  </sheetViews>
  <sheetFormatPr defaultColWidth="8.85546875" defaultRowHeight="12.75"/>
  <cols>
    <col min="1" max="1" width="39.7109375" customWidth="1"/>
    <col min="2" max="2" width="10.42578125" customWidth="1"/>
    <col min="3" max="3" width="13.85546875" bestFit="1" customWidth="1"/>
    <col min="4" max="4" width="10.140625" customWidth="1"/>
    <col min="5" max="5" width="12.42578125" customWidth="1"/>
    <col min="7" max="7" width="10.85546875" customWidth="1"/>
    <col min="8" max="8" width="8.85546875" style="3"/>
    <col min="9" max="9" width="41.85546875" customWidth="1"/>
  </cols>
  <sheetData>
    <row r="1" spans="1:16" ht="45">
      <c r="A1" s="7" t="s">
        <v>225</v>
      </c>
      <c r="E1" s="196"/>
      <c r="F1" s="196"/>
    </row>
    <row r="2" spans="1:16" ht="18.75">
      <c r="A2" s="7"/>
      <c r="B2" s="7"/>
      <c r="C2" s="7"/>
      <c r="D2" s="6" t="s">
        <v>0</v>
      </c>
      <c r="E2" s="129">
        <f>MAX(C10:C23)</f>
        <v>8.4</v>
      </c>
      <c r="F2" s="6" t="s">
        <v>11</v>
      </c>
      <c r="G2" s="63" t="s">
        <v>29</v>
      </c>
      <c r="I2" s="64"/>
    </row>
    <row r="3" spans="1:16">
      <c r="A3" s="6"/>
      <c r="B3" s="6"/>
      <c r="C3" s="6"/>
      <c r="D3" s="6" t="s">
        <v>1</v>
      </c>
      <c r="E3" s="129">
        <f>MIN(C10:C23)</f>
        <v>4.21</v>
      </c>
      <c r="F3" s="6" t="s">
        <v>11</v>
      </c>
      <c r="G3" s="63" t="s">
        <v>30</v>
      </c>
      <c r="I3" s="64"/>
    </row>
    <row r="4" spans="1:16">
      <c r="A4" s="10"/>
      <c r="B4" s="10"/>
      <c r="C4" s="10"/>
      <c r="D4" s="6" t="s">
        <v>13</v>
      </c>
      <c r="E4" s="269">
        <v>85</v>
      </c>
      <c r="F4" s="6" t="s">
        <v>12</v>
      </c>
      <c r="G4" s="63" t="s">
        <v>31</v>
      </c>
      <c r="I4" s="64"/>
    </row>
    <row r="5" spans="1:16">
      <c r="A5" s="10"/>
      <c r="B5" s="10"/>
      <c r="C5" s="10"/>
      <c r="D5" s="6" t="s">
        <v>146</v>
      </c>
      <c r="E5" s="269"/>
      <c r="F5" s="6"/>
      <c r="G5" s="63"/>
      <c r="I5" s="64"/>
    </row>
    <row r="6" spans="1:16">
      <c r="A6" s="10"/>
      <c r="B6" s="10"/>
      <c r="C6" s="10"/>
      <c r="D6" s="6" t="s">
        <v>147</v>
      </c>
      <c r="E6" s="269">
        <f>100/(E2-E3)</f>
        <v>23.866348448687347</v>
      </c>
      <c r="F6" s="6"/>
      <c r="G6" s="63"/>
      <c r="I6" s="64"/>
    </row>
    <row r="7" spans="1:16">
      <c r="A7" s="10"/>
      <c r="B7" s="10"/>
      <c r="C7" s="10"/>
      <c r="D7" s="6" t="s">
        <v>148</v>
      </c>
      <c r="E7" s="269">
        <f>(E6*E2)</f>
        <v>200.47732696897373</v>
      </c>
      <c r="F7" s="6"/>
      <c r="G7" s="63"/>
      <c r="I7" s="64"/>
    </row>
    <row r="8" spans="1:16">
      <c r="A8" s="12"/>
      <c r="B8" s="12"/>
      <c r="C8" s="12"/>
      <c r="D8" s="12"/>
      <c r="E8" s="6"/>
      <c r="F8" s="6"/>
      <c r="H8" s="18"/>
      <c r="I8" s="65"/>
      <c r="J8" s="65"/>
    </row>
    <row r="9" spans="1:16" ht="38.25">
      <c r="A9" s="11"/>
      <c r="B9" s="39" t="s">
        <v>40</v>
      </c>
      <c r="C9" s="39" t="s">
        <v>52</v>
      </c>
      <c r="D9" s="39" t="s">
        <v>10</v>
      </c>
      <c r="E9" s="36" t="s">
        <v>151</v>
      </c>
      <c r="F9" s="36" t="s">
        <v>28</v>
      </c>
      <c r="G9" s="162" t="s">
        <v>68</v>
      </c>
      <c r="H9" s="2" t="s">
        <v>167</v>
      </c>
      <c r="J9" s="36"/>
      <c r="L9" s="161" t="s">
        <v>46</v>
      </c>
    </row>
    <row r="10" spans="1:16" ht="15">
      <c r="A10" s="337" t="s">
        <v>156</v>
      </c>
      <c r="B10" s="389" t="s">
        <v>256</v>
      </c>
      <c r="C10" s="445">
        <v>4.21</v>
      </c>
      <c r="D10" s="266">
        <f t="shared" ref="D10:D17" si="0">$E$4/C10</f>
        <v>20.190023752969122</v>
      </c>
      <c r="E10" s="17">
        <f t="shared" ref="E10:E17" si="1">100-($E$6*C10)+$E$7</f>
        <v>200</v>
      </c>
      <c r="F10" s="339">
        <f t="shared" ref="F10:F19" si="2">RANK($E10,$E$10:$E$23)</f>
        <v>1</v>
      </c>
      <c r="G10" s="381">
        <v>85</v>
      </c>
      <c r="H10" s="341"/>
      <c r="I10" s="133"/>
      <c r="J10" s="6"/>
      <c r="L10" s="54" t="s">
        <v>46</v>
      </c>
      <c r="M10" s="67"/>
      <c r="N10" s="67"/>
      <c r="O10" s="67"/>
      <c r="P10" s="67"/>
    </row>
    <row r="11" spans="1:16" ht="15">
      <c r="A11" s="337" t="s">
        <v>195</v>
      </c>
      <c r="B11" s="389" t="s">
        <v>256</v>
      </c>
      <c r="C11" s="445">
        <v>4.58</v>
      </c>
      <c r="D11" s="266">
        <f t="shared" si="0"/>
        <v>18.558951965065503</v>
      </c>
      <c r="E11" s="17">
        <f t="shared" si="1"/>
        <v>191.16945107398567</v>
      </c>
      <c r="F11" s="339">
        <f t="shared" si="2"/>
        <v>3</v>
      </c>
      <c r="G11" s="381">
        <v>85</v>
      </c>
      <c r="H11" s="341"/>
      <c r="I11" s="133"/>
      <c r="J11" s="6"/>
      <c r="L11" s="54"/>
      <c r="M11" s="67"/>
      <c r="N11" s="67"/>
      <c r="O11" s="67"/>
      <c r="P11" s="67"/>
    </row>
    <row r="12" spans="1:16" ht="15">
      <c r="A12" s="337" t="s">
        <v>202</v>
      </c>
      <c r="B12" s="389" t="s">
        <v>256</v>
      </c>
      <c r="C12" s="445" t="s">
        <v>258</v>
      </c>
      <c r="D12" s="266"/>
      <c r="E12" s="17">
        <v>5</v>
      </c>
      <c r="F12" s="339">
        <f t="shared" si="2"/>
        <v>7</v>
      </c>
      <c r="G12" s="381"/>
      <c r="H12" s="341"/>
      <c r="I12" s="133"/>
      <c r="J12" s="6"/>
      <c r="L12" s="54"/>
      <c r="M12" s="67"/>
      <c r="N12" s="67"/>
      <c r="O12" s="67"/>
      <c r="P12" s="67"/>
    </row>
    <row r="13" spans="1:16" s="214" customFormat="1" ht="15">
      <c r="A13" s="343" t="s">
        <v>203</v>
      </c>
      <c r="B13" s="389" t="s">
        <v>257</v>
      </c>
      <c r="C13" s="445" t="s">
        <v>258</v>
      </c>
      <c r="D13" s="266"/>
      <c r="E13" s="17">
        <v>5</v>
      </c>
      <c r="F13" s="339">
        <f t="shared" si="2"/>
        <v>7</v>
      </c>
      <c r="G13" s="362"/>
      <c r="H13" s="341"/>
      <c r="I13" s="215"/>
      <c r="J13" s="219"/>
      <c r="L13" s="218"/>
    </row>
    <row r="14" spans="1:16" s="214" customFormat="1" ht="15">
      <c r="A14" s="337" t="s">
        <v>204</v>
      </c>
      <c r="B14" s="389" t="s">
        <v>256</v>
      </c>
      <c r="C14" s="445">
        <v>8.4</v>
      </c>
      <c r="D14" s="266">
        <f t="shared" si="0"/>
        <v>10.119047619047619</v>
      </c>
      <c r="E14" s="17">
        <f t="shared" si="1"/>
        <v>100</v>
      </c>
      <c r="F14" s="339">
        <f t="shared" si="2"/>
        <v>6</v>
      </c>
      <c r="G14" s="381">
        <v>85</v>
      </c>
      <c r="H14" s="341"/>
      <c r="I14" s="215"/>
      <c r="J14" s="219"/>
      <c r="L14" s="218" t="s">
        <v>46</v>
      </c>
    </row>
    <row r="15" spans="1:16" ht="15">
      <c r="A15" s="344" t="s">
        <v>201</v>
      </c>
      <c r="B15" s="389" t="s">
        <v>256</v>
      </c>
      <c r="C15" s="445">
        <v>4.8600000000000003</v>
      </c>
      <c r="D15" s="266">
        <f t="shared" si="0"/>
        <v>17.489711934156379</v>
      </c>
      <c r="E15" s="17">
        <f t="shared" si="1"/>
        <v>184.4868735083532</v>
      </c>
      <c r="F15" s="339">
        <f t="shared" si="2"/>
        <v>4</v>
      </c>
      <c r="G15" s="381">
        <v>85</v>
      </c>
      <c r="H15" s="341"/>
      <c r="I15" s="133"/>
      <c r="J15" s="6"/>
      <c r="L15" s="54"/>
      <c r="M15" s="67"/>
      <c r="N15" s="67"/>
      <c r="O15" s="67"/>
      <c r="P15" s="67"/>
    </row>
    <row r="16" spans="1:16" ht="15" customHeight="1">
      <c r="A16" s="343" t="s">
        <v>200</v>
      </c>
      <c r="B16" s="389" t="s">
        <v>256</v>
      </c>
      <c r="C16" s="445">
        <v>5.0999999999999996</v>
      </c>
      <c r="D16" s="266">
        <f t="shared" si="0"/>
        <v>16.666666666666668</v>
      </c>
      <c r="E16" s="17">
        <f t="shared" si="1"/>
        <v>178.75894988066827</v>
      </c>
      <c r="F16" s="339">
        <f t="shared" si="2"/>
        <v>5</v>
      </c>
      <c r="G16" s="381">
        <v>85</v>
      </c>
      <c r="H16" s="341"/>
      <c r="I16" s="133"/>
      <c r="J16" s="6"/>
      <c r="L16" s="54" t="s">
        <v>46</v>
      </c>
      <c r="M16" s="67"/>
      <c r="N16" s="67"/>
      <c r="O16" s="67"/>
      <c r="P16" s="67"/>
    </row>
    <row r="17" spans="1:16" ht="15">
      <c r="A17" s="344" t="s">
        <v>212</v>
      </c>
      <c r="B17" s="389" t="s">
        <v>256</v>
      </c>
      <c r="C17" s="445">
        <v>4.57</v>
      </c>
      <c r="D17" s="266">
        <f t="shared" si="0"/>
        <v>18.599562363238512</v>
      </c>
      <c r="E17" s="17">
        <f t="shared" si="1"/>
        <v>191.40811455847256</v>
      </c>
      <c r="F17" s="339">
        <f t="shared" si="2"/>
        <v>2</v>
      </c>
      <c r="G17" s="381">
        <v>85</v>
      </c>
      <c r="H17" s="341"/>
      <c r="I17" s="133"/>
      <c r="J17" s="6"/>
      <c r="M17" s="67"/>
      <c r="N17" s="67"/>
      <c r="O17" s="67"/>
      <c r="P17" s="67"/>
    </row>
    <row r="18" spans="1:16" ht="15">
      <c r="A18" s="344" t="s">
        <v>214</v>
      </c>
      <c r="B18" s="389" t="s">
        <v>256</v>
      </c>
      <c r="C18" s="445" t="s">
        <v>258</v>
      </c>
      <c r="D18" s="266"/>
      <c r="E18" s="17">
        <v>5</v>
      </c>
      <c r="F18" s="339">
        <f t="shared" si="2"/>
        <v>7</v>
      </c>
      <c r="G18" s="381"/>
      <c r="H18" s="341"/>
      <c r="I18" s="133"/>
      <c r="J18" s="6"/>
      <c r="M18" s="67"/>
      <c r="N18" s="67"/>
      <c r="O18" s="67"/>
      <c r="P18" s="67"/>
    </row>
    <row r="19" spans="1:16" s="166" customFormat="1" ht="15">
      <c r="A19" s="344" t="s">
        <v>215</v>
      </c>
      <c r="B19" s="389" t="s">
        <v>257</v>
      </c>
      <c r="C19" s="445" t="s">
        <v>258</v>
      </c>
      <c r="D19" s="266"/>
      <c r="E19" s="17">
        <v>5</v>
      </c>
      <c r="F19" s="339">
        <f t="shared" si="2"/>
        <v>7</v>
      </c>
      <c r="G19" s="381"/>
      <c r="H19" s="341"/>
      <c r="I19" s="133"/>
      <c r="J19" s="167"/>
    </row>
    <row r="20" spans="1:16" s="166" customFormat="1" ht="15">
      <c r="A20" s="438" t="s">
        <v>250</v>
      </c>
      <c r="B20" s="389" t="s">
        <v>259</v>
      </c>
      <c r="C20" s="445" t="s">
        <v>258</v>
      </c>
      <c r="D20" s="266"/>
      <c r="E20" s="17"/>
      <c r="F20" s="339"/>
      <c r="G20" s="381"/>
      <c r="H20" s="341"/>
      <c r="I20" s="133"/>
      <c r="J20" s="167"/>
    </row>
    <row r="21" spans="1:16" s="166" customFormat="1" ht="15">
      <c r="A21" s="344" t="s">
        <v>217</v>
      </c>
      <c r="B21" s="389" t="s">
        <v>256</v>
      </c>
      <c r="C21" s="445" t="s">
        <v>258</v>
      </c>
      <c r="D21" s="266"/>
      <c r="E21" s="17">
        <v>0</v>
      </c>
      <c r="F21" s="339"/>
      <c r="G21" s="381"/>
      <c r="H21" s="341"/>
      <c r="I21" s="133"/>
      <c r="J21" s="167"/>
    </row>
    <row r="22" spans="1:16" ht="15">
      <c r="A22" s="438" t="s">
        <v>253</v>
      </c>
      <c r="B22" s="389" t="s">
        <v>259</v>
      </c>
      <c r="C22" s="445" t="s">
        <v>259</v>
      </c>
      <c r="D22" s="266"/>
      <c r="E22" s="17"/>
      <c r="F22" s="339"/>
      <c r="G22" s="381"/>
      <c r="H22" s="341"/>
      <c r="I22" s="133"/>
    </row>
    <row r="23" spans="1:16" ht="15">
      <c r="A23" s="438" t="s">
        <v>252</v>
      </c>
      <c r="B23" s="389" t="s">
        <v>259</v>
      </c>
      <c r="C23" s="445" t="s">
        <v>259</v>
      </c>
      <c r="D23" s="266"/>
      <c r="E23" s="17"/>
      <c r="F23" s="339"/>
      <c r="G23" s="381"/>
      <c r="H23" s="341"/>
      <c r="I23" s="133"/>
    </row>
    <row r="24" spans="1:16">
      <c r="A24" s="6"/>
      <c r="B24" s="6"/>
      <c r="C24" s="6"/>
      <c r="D24" s="6"/>
      <c r="E24" s="6"/>
      <c r="F24" s="6"/>
      <c r="G24" s="219"/>
      <c r="H24" s="18"/>
    </row>
    <row r="25" spans="1:16">
      <c r="B25" s="354"/>
      <c r="D25" s="6"/>
    </row>
  </sheetData>
  <phoneticPr fontId="23" type="noConversion"/>
  <printOptions gridLines="1"/>
  <pageMargins left="0.75" right="0.75" top="1" bottom="1" header="0.5" footer="0.5"/>
  <pageSetup scale="67" orientation="landscape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P54"/>
  <sheetViews>
    <sheetView workbookViewId="0">
      <selection activeCell="B5" sqref="B5"/>
    </sheetView>
  </sheetViews>
  <sheetFormatPr defaultColWidth="8.85546875" defaultRowHeight="12.75"/>
  <cols>
    <col min="1" max="1" width="40.85546875" customWidth="1"/>
    <col min="2" max="2" width="11" customWidth="1"/>
    <col min="3" max="3" width="21.42578125" style="67" customWidth="1"/>
    <col min="4" max="4" width="20" customWidth="1"/>
    <col min="5" max="5" width="16.85546875" customWidth="1"/>
    <col min="6" max="6" width="16.85546875" style="214" customWidth="1"/>
    <col min="7" max="7" width="16.85546875" customWidth="1"/>
    <col min="8" max="8" width="11.42578125" customWidth="1"/>
    <col min="9" max="9" width="12.28515625" customWidth="1"/>
    <col min="10" max="10" width="10.42578125" customWidth="1"/>
    <col min="11" max="11" width="13.7109375" customWidth="1"/>
    <col min="12" max="12" width="13.28515625" customWidth="1"/>
    <col min="13" max="13" width="12.28515625" customWidth="1"/>
    <col min="14" max="14" width="14.28515625" customWidth="1"/>
    <col min="15" max="15" width="12.7109375" customWidth="1"/>
    <col min="16" max="16" width="12.42578125" customWidth="1"/>
    <col min="17" max="17" width="11" customWidth="1"/>
  </cols>
  <sheetData>
    <row r="1" spans="1:16" ht="18.75">
      <c r="A1" s="7" t="s">
        <v>227</v>
      </c>
      <c r="B1" s="159"/>
      <c r="C1" s="38"/>
      <c r="D1" s="6"/>
      <c r="E1" s="19"/>
      <c r="F1" s="58" t="s">
        <v>149</v>
      </c>
      <c r="G1" s="53"/>
      <c r="H1" s="9"/>
      <c r="I1" s="6"/>
      <c r="J1" s="6"/>
      <c r="K1" s="6"/>
      <c r="L1" s="6"/>
      <c r="M1" s="6"/>
      <c r="N1" s="6"/>
      <c r="O1" s="6"/>
      <c r="P1" s="6"/>
    </row>
    <row r="2" spans="1:16" s="67" customFormat="1">
      <c r="A2" s="38"/>
      <c r="B2" s="174"/>
      <c r="C2" s="17"/>
      <c r="D2" s="9"/>
      <c r="E2" s="19"/>
      <c r="F2" s="58" t="s">
        <v>130</v>
      </c>
      <c r="G2" s="60"/>
      <c r="H2" s="68"/>
      <c r="I2" s="38"/>
      <c r="J2" s="38"/>
      <c r="K2" s="38"/>
      <c r="L2" s="38"/>
      <c r="M2" s="38"/>
      <c r="N2" s="38"/>
      <c r="O2" s="38"/>
      <c r="P2" s="38"/>
    </row>
    <row r="3" spans="1:16">
      <c r="A3" s="10" t="s">
        <v>168</v>
      </c>
      <c r="B3" s="451">
        <v>88</v>
      </c>
      <c r="C3" s="175" t="s">
        <v>178</v>
      </c>
      <c r="D3" s="56"/>
      <c r="E3" s="56" t="s">
        <v>37</v>
      </c>
      <c r="F3" s="56" t="s">
        <v>80</v>
      </c>
      <c r="G3" s="56" t="s">
        <v>81</v>
      </c>
      <c r="H3" s="12"/>
      <c r="I3" s="6"/>
      <c r="J3" s="6"/>
      <c r="K3" s="6"/>
      <c r="L3" s="6"/>
      <c r="M3" s="6"/>
      <c r="N3" s="6"/>
      <c r="O3" s="6"/>
      <c r="P3" s="6"/>
    </row>
    <row r="4" spans="1:16">
      <c r="A4" s="6"/>
      <c r="B4" s="124" t="s">
        <v>53</v>
      </c>
      <c r="C4" s="56" t="s">
        <v>54</v>
      </c>
      <c r="D4" s="23"/>
      <c r="E4" s="314" t="s">
        <v>83</v>
      </c>
      <c r="F4" s="56" t="s">
        <v>9</v>
      </c>
      <c r="G4" s="23" t="s">
        <v>54</v>
      </c>
      <c r="H4" s="23" t="s">
        <v>28</v>
      </c>
      <c r="I4" s="23"/>
      <c r="J4" s="20"/>
      <c r="K4" s="20"/>
      <c r="L4" s="5"/>
      <c r="M4" s="5"/>
      <c r="N4" s="5"/>
      <c r="O4" s="5"/>
      <c r="P4" s="2"/>
    </row>
    <row r="5" spans="1:16" ht="15">
      <c r="A5" s="337" t="s">
        <v>156</v>
      </c>
      <c r="B5" s="450">
        <v>75</v>
      </c>
      <c r="C5" s="245">
        <f>IF(B5&lt;$B$21,(10^(($B$20-B5)/10)*150),7.5)</f>
        <v>94.643601672028993</v>
      </c>
      <c r="D5" s="17"/>
      <c r="E5" s="449">
        <v>3</v>
      </c>
      <c r="F5" s="58">
        <f>-($E$21*E5)+$E$22</f>
        <v>100</v>
      </c>
      <c r="G5" s="58">
        <f>C5+F5</f>
        <v>194.64360167202898</v>
      </c>
      <c r="H5" s="56">
        <f>RANK(G5,$G$5:$G$18)</f>
        <v>3</v>
      </c>
      <c r="I5" s="57"/>
      <c r="J5" s="59"/>
      <c r="K5" s="30"/>
      <c r="L5" s="18"/>
      <c r="M5" s="58"/>
      <c r="N5" s="18"/>
      <c r="O5" s="18"/>
      <c r="P5" s="3"/>
    </row>
    <row r="6" spans="1:16" ht="15">
      <c r="A6" s="337" t="s">
        <v>195</v>
      </c>
      <c r="B6" s="450">
        <v>73</v>
      </c>
      <c r="C6" s="245">
        <f t="shared" ref="C6:C12" si="0">IF(B6&lt;$B$21,(10^(($B$20-B6)/10)*150),7.5)</f>
        <v>150</v>
      </c>
      <c r="D6" s="17"/>
      <c r="E6" s="449">
        <v>1</v>
      </c>
      <c r="F6" s="58">
        <f t="shared" ref="F6:F12" si="1">-($E$21*E6)+$E$22</f>
        <v>150</v>
      </c>
      <c r="G6" s="58">
        <f t="shared" ref="G6:G18" si="2">C6+F6</f>
        <v>300</v>
      </c>
      <c r="H6" s="56">
        <f t="shared" ref="H6:H18" si="3">RANK(G6,$G$5:$G$18)</f>
        <v>1</v>
      </c>
      <c r="I6" s="57"/>
      <c r="J6" s="59"/>
      <c r="K6" s="30"/>
      <c r="L6" s="18"/>
      <c r="M6" s="58"/>
      <c r="N6" s="18"/>
      <c r="O6" s="18"/>
      <c r="P6" s="3"/>
    </row>
    <row r="7" spans="1:16" ht="15">
      <c r="A7" s="337" t="s">
        <v>196</v>
      </c>
      <c r="B7" s="450">
        <v>81</v>
      </c>
      <c r="C7" s="245">
        <f t="shared" si="0"/>
        <v>23.773397886916698</v>
      </c>
      <c r="D7" s="17"/>
      <c r="E7" s="449">
        <v>5</v>
      </c>
      <c r="F7" s="58">
        <f t="shared" si="1"/>
        <v>50</v>
      </c>
      <c r="G7" s="58">
        <f t="shared" si="2"/>
        <v>73.773397886916698</v>
      </c>
      <c r="H7" s="56">
        <f t="shared" si="3"/>
        <v>5</v>
      </c>
      <c r="I7" s="57"/>
      <c r="J7" s="59"/>
      <c r="K7" s="30"/>
      <c r="L7" s="18"/>
      <c r="M7" s="58"/>
      <c r="N7" s="18"/>
      <c r="O7" s="18"/>
      <c r="P7" s="3"/>
    </row>
    <row r="8" spans="1:16" s="172" customFormat="1" ht="15">
      <c r="A8" s="343" t="s">
        <v>197</v>
      </c>
      <c r="B8" s="450" t="s">
        <v>311</v>
      </c>
      <c r="C8" s="245">
        <v>0</v>
      </c>
      <c r="D8" s="17"/>
      <c r="E8" s="449" t="s">
        <v>311</v>
      </c>
      <c r="F8" s="58"/>
      <c r="G8" s="58">
        <f t="shared" si="2"/>
        <v>0</v>
      </c>
      <c r="H8" s="56">
        <f t="shared" si="3"/>
        <v>8</v>
      </c>
      <c r="I8" s="278"/>
      <c r="J8" s="279"/>
      <c r="K8" s="272"/>
      <c r="L8" s="280"/>
      <c r="M8" s="58"/>
      <c r="N8" s="280"/>
      <c r="O8" s="280"/>
      <c r="P8" s="259"/>
    </row>
    <row r="9" spans="1:16" s="172" customFormat="1" ht="15">
      <c r="A9" s="337" t="s">
        <v>204</v>
      </c>
      <c r="B9" s="450">
        <v>82</v>
      </c>
      <c r="C9" s="245">
        <f t="shared" si="0"/>
        <v>18.883881176912499</v>
      </c>
      <c r="D9" s="17"/>
      <c r="E9" s="449">
        <v>7</v>
      </c>
      <c r="F9" s="58">
        <f t="shared" si="1"/>
        <v>0</v>
      </c>
      <c r="G9" s="58">
        <f t="shared" si="2"/>
        <v>18.883881176912499</v>
      </c>
      <c r="H9" s="56">
        <f t="shared" si="3"/>
        <v>7</v>
      </c>
      <c r="I9" s="278"/>
      <c r="J9" s="279"/>
      <c r="K9" s="272"/>
      <c r="L9" s="280"/>
      <c r="M9" s="58"/>
      <c r="N9" s="280"/>
      <c r="O9" s="280"/>
      <c r="P9" s="259"/>
    </row>
    <row r="10" spans="1:16" ht="15">
      <c r="A10" s="344" t="s">
        <v>199</v>
      </c>
      <c r="B10" s="450">
        <v>73</v>
      </c>
      <c r="C10" s="245">
        <f t="shared" si="0"/>
        <v>150</v>
      </c>
      <c r="D10" s="17"/>
      <c r="E10" s="449">
        <v>2</v>
      </c>
      <c r="F10" s="58">
        <f t="shared" si="1"/>
        <v>125</v>
      </c>
      <c r="G10" s="58">
        <f t="shared" si="2"/>
        <v>275</v>
      </c>
      <c r="H10" s="56">
        <f t="shared" si="3"/>
        <v>2</v>
      </c>
      <c r="I10" s="57"/>
      <c r="J10" s="59"/>
      <c r="K10" s="30"/>
      <c r="N10" s="18"/>
      <c r="O10" s="18"/>
      <c r="P10" s="3"/>
    </row>
    <row r="11" spans="1:16" ht="15">
      <c r="A11" s="343" t="s">
        <v>200</v>
      </c>
      <c r="B11" s="450">
        <v>77</v>
      </c>
      <c r="C11" s="245">
        <f t="shared" si="0"/>
        <v>59.716075583024583</v>
      </c>
      <c r="D11" s="17"/>
      <c r="E11" s="449">
        <v>4</v>
      </c>
      <c r="F11" s="58">
        <f t="shared" si="1"/>
        <v>75</v>
      </c>
      <c r="G11" s="58">
        <f t="shared" si="2"/>
        <v>134.71607558302458</v>
      </c>
      <c r="H11" s="56">
        <f t="shared" si="3"/>
        <v>4</v>
      </c>
      <c r="I11" s="57"/>
      <c r="J11" s="59"/>
      <c r="K11" s="30"/>
      <c r="N11" s="18"/>
      <c r="O11" s="18"/>
      <c r="P11" s="3"/>
    </row>
    <row r="12" spans="1:16" ht="15">
      <c r="A12" s="344" t="s">
        <v>212</v>
      </c>
      <c r="B12" s="450">
        <v>78</v>
      </c>
      <c r="C12" s="245">
        <f t="shared" si="0"/>
        <v>47.434164902525694</v>
      </c>
      <c r="D12" s="17"/>
      <c r="E12" s="449">
        <v>6</v>
      </c>
      <c r="F12" s="58">
        <f t="shared" si="1"/>
        <v>25</v>
      </c>
      <c r="G12" s="58">
        <f t="shared" si="2"/>
        <v>72.434164902525694</v>
      </c>
      <c r="H12" s="56">
        <f t="shared" si="3"/>
        <v>6</v>
      </c>
      <c r="I12" s="57"/>
      <c r="J12" s="59"/>
      <c r="K12" s="30"/>
      <c r="L12" s="18"/>
      <c r="M12" s="58"/>
      <c r="N12" s="18"/>
      <c r="O12" s="18"/>
      <c r="P12" s="3"/>
    </row>
    <row r="13" spans="1:16" ht="15">
      <c r="A13" s="344" t="s">
        <v>214</v>
      </c>
      <c r="B13" s="450" t="s">
        <v>311</v>
      </c>
      <c r="C13" s="245">
        <v>0</v>
      </c>
      <c r="D13" s="17"/>
      <c r="E13" s="449" t="s">
        <v>311</v>
      </c>
      <c r="F13" s="58"/>
      <c r="G13" s="58">
        <f t="shared" si="2"/>
        <v>0</v>
      </c>
      <c r="H13" s="56">
        <f t="shared" si="3"/>
        <v>8</v>
      </c>
      <c r="I13" s="57"/>
      <c r="J13" s="59"/>
      <c r="K13" s="30"/>
      <c r="L13" s="18"/>
      <c r="M13" s="58"/>
      <c r="N13" s="18"/>
      <c r="O13" s="18"/>
      <c r="P13" s="3"/>
    </row>
    <row r="14" spans="1:16" ht="15">
      <c r="A14" s="344" t="s">
        <v>215</v>
      </c>
      <c r="B14" s="450" t="s">
        <v>311</v>
      </c>
      <c r="C14" s="245">
        <v>0</v>
      </c>
      <c r="D14" s="17"/>
      <c r="E14" s="449" t="s">
        <v>311</v>
      </c>
      <c r="F14" s="58"/>
      <c r="G14" s="58">
        <f t="shared" si="2"/>
        <v>0</v>
      </c>
      <c r="H14" s="56">
        <f t="shared" si="3"/>
        <v>8</v>
      </c>
      <c r="I14" s="57"/>
      <c r="J14" s="59"/>
      <c r="K14" s="30"/>
      <c r="L14" s="18"/>
      <c r="M14" s="58"/>
      <c r="N14" s="18"/>
      <c r="O14" s="18"/>
      <c r="P14" s="3"/>
    </row>
    <row r="15" spans="1:16" ht="15">
      <c r="A15" s="344" t="s">
        <v>250</v>
      </c>
      <c r="B15" s="450" t="s">
        <v>311</v>
      </c>
      <c r="C15" s="245">
        <v>0</v>
      </c>
      <c r="D15" s="17"/>
      <c r="E15" s="449" t="s">
        <v>311</v>
      </c>
      <c r="F15" s="58"/>
      <c r="G15" s="58">
        <f t="shared" si="2"/>
        <v>0</v>
      </c>
      <c r="H15" s="56">
        <f t="shared" si="3"/>
        <v>8</v>
      </c>
      <c r="I15" s="57"/>
      <c r="J15" s="59"/>
      <c r="K15" s="30"/>
      <c r="L15" s="18"/>
      <c r="M15" s="58"/>
      <c r="N15" s="18"/>
      <c r="O15" s="18"/>
      <c r="P15" s="3"/>
    </row>
    <row r="16" spans="1:16" s="143" customFormat="1" ht="15">
      <c r="A16" s="344" t="s">
        <v>217</v>
      </c>
      <c r="B16" s="450" t="s">
        <v>311</v>
      </c>
      <c r="C16" s="245">
        <v>0</v>
      </c>
      <c r="D16" s="17"/>
      <c r="E16" s="449" t="s">
        <v>311</v>
      </c>
      <c r="F16" s="58"/>
      <c r="G16" s="58">
        <f t="shared" si="2"/>
        <v>0</v>
      </c>
      <c r="H16" s="56">
        <f t="shared" si="3"/>
        <v>8</v>
      </c>
      <c r="I16" s="148"/>
      <c r="J16" s="149"/>
      <c r="K16" s="150"/>
      <c r="L16" s="144"/>
      <c r="M16" s="151"/>
      <c r="N16" s="144"/>
      <c r="O16" s="144"/>
      <c r="P16" s="142"/>
    </row>
    <row r="17" spans="1:12" s="143" customFormat="1" ht="15">
      <c r="A17" s="344" t="s">
        <v>251</v>
      </c>
      <c r="B17" s="450" t="s">
        <v>311</v>
      </c>
      <c r="C17" s="245">
        <v>0</v>
      </c>
      <c r="D17" s="17"/>
      <c r="E17" s="449" t="s">
        <v>311</v>
      </c>
      <c r="F17" s="58"/>
      <c r="G17" s="58">
        <f t="shared" si="2"/>
        <v>0</v>
      </c>
      <c r="H17" s="56">
        <f t="shared" si="3"/>
        <v>8</v>
      </c>
      <c r="I17" s="163"/>
      <c r="J17" s="136"/>
      <c r="K17" s="136"/>
    </row>
    <row r="18" spans="1:12" ht="15">
      <c r="A18" s="344" t="s">
        <v>252</v>
      </c>
      <c r="B18" s="450" t="s">
        <v>311</v>
      </c>
      <c r="C18" s="245">
        <v>0</v>
      </c>
      <c r="D18" s="17"/>
      <c r="E18" s="449" t="s">
        <v>311</v>
      </c>
      <c r="F18" s="58"/>
      <c r="G18" s="58">
        <f t="shared" si="2"/>
        <v>0</v>
      </c>
      <c r="H18" s="56">
        <f t="shared" si="3"/>
        <v>8</v>
      </c>
      <c r="I18" s="4"/>
      <c r="J18" s="1"/>
      <c r="K18" s="1"/>
      <c r="L18" s="1"/>
    </row>
    <row r="19" spans="1:12">
      <c r="B19" s="71"/>
      <c r="C19" s="71"/>
      <c r="D19" s="71" t="s">
        <v>170</v>
      </c>
      <c r="E19" s="181">
        <f>MIN(E5:E18)</f>
        <v>1</v>
      </c>
      <c r="F19" s="324"/>
      <c r="G19" s="55"/>
      <c r="H19" s="55"/>
      <c r="I19" s="4"/>
      <c r="J19" s="70"/>
      <c r="K19" s="72"/>
      <c r="L19" s="1"/>
    </row>
    <row r="20" spans="1:12">
      <c r="A20" s="177" t="s">
        <v>177</v>
      </c>
      <c r="B20" s="74">
        <f>MIN(B5:B18)</f>
        <v>73</v>
      </c>
      <c r="C20" s="75"/>
      <c r="D20" s="75" t="s">
        <v>172</v>
      </c>
      <c r="E20" s="181">
        <f>MAX(E5:E18)</f>
        <v>7</v>
      </c>
      <c r="F20" s="321"/>
      <c r="G20" s="75"/>
      <c r="H20" s="76"/>
      <c r="I20" s="4"/>
      <c r="J20" s="1"/>
      <c r="K20" s="1"/>
      <c r="L20" s="1"/>
    </row>
    <row r="21" spans="1:12">
      <c r="A21" s="177" t="s">
        <v>179</v>
      </c>
      <c r="B21" s="380">
        <v>87</v>
      </c>
      <c r="C21" s="75"/>
      <c r="D21" s="75" t="s">
        <v>169</v>
      </c>
      <c r="E21" s="75">
        <f>150/(E20-E19)</f>
        <v>25</v>
      </c>
      <c r="F21" s="321"/>
      <c r="G21" s="75"/>
      <c r="H21" s="76"/>
      <c r="I21" s="4"/>
      <c r="J21" s="1"/>
      <c r="K21" s="1"/>
      <c r="L21" s="1"/>
    </row>
    <row r="22" spans="1:12">
      <c r="A22" s="308"/>
      <c r="B22" s="74"/>
      <c r="C22" s="75"/>
      <c r="D22" s="75" t="s">
        <v>171</v>
      </c>
      <c r="E22" s="75">
        <f>E21*E20</f>
        <v>175</v>
      </c>
      <c r="F22" s="321"/>
      <c r="G22" s="75"/>
      <c r="H22" s="76"/>
      <c r="I22" s="4"/>
      <c r="J22" s="1"/>
      <c r="K22" s="1"/>
      <c r="L22" s="1"/>
    </row>
    <row r="23" spans="1:12">
      <c r="A23" s="364"/>
      <c r="B23" s="74"/>
      <c r="C23" s="75"/>
      <c r="D23" s="75"/>
      <c r="E23" s="75"/>
      <c r="F23" s="321"/>
      <c r="G23" s="75"/>
      <c r="H23" s="76"/>
      <c r="I23" s="4"/>
      <c r="J23" s="1"/>
      <c r="K23" s="1"/>
      <c r="L23" s="1"/>
    </row>
    <row r="24" spans="1:12">
      <c r="A24" s="326"/>
      <c r="B24" s="74"/>
      <c r="C24" s="75"/>
      <c r="D24" s="75"/>
      <c r="E24" s="75"/>
      <c r="F24" s="321"/>
      <c r="G24" s="75"/>
      <c r="H24" s="76"/>
      <c r="I24" s="4"/>
      <c r="J24" s="1"/>
      <c r="K24" s="1"/>
      <c r="L24" s="1"/>
    </row>
    <row r="25" spans="1:12">
      <c r="A25" s="326"/>
      <c r="B25" s="74"/>
      <c r="C25" s="75"/>
      <c r="D25" s="75"/>
      <c r="F25" s="321"/>
      <c r="G25" s="75"/>
      <c r="H25" s="76"/>
      <c r="I25" s="4"/>
      <c r="J25" s="1"/>
      <c r="K25" s="1"/>
      <c r="L25" s="1"/>
    </row>
    <row r="26" spans="1:12">
      <c r="A26" s="326"/>
      <c r="B26" s="365" t="s">
        <v>180</v>
      </c>
      <c r="C26" s="75"/>
      <c r="D26" s="75"/>
      <c r="F26" s="321"/>
      <c r="G26" s="75"/>
      <c r="H26" s="76"/>
      <c r="I26" s="4"/>
      <c r="J26" s="1"/>
      <c r="K26" s="1"/>
      <c r="L26" s="1"/>
    </row>
    <row r="27" spans="1:12">
      <c r="A27" s="73"/>
      <c r="B27" s="363" t="s">
        <v>128</v>
      </c>
      <c r="C27" s="356" t="s">
        <v>54</v>
      </c>
      <c r="D27" s="75"/>
      <c r="E27" s="75"/>
      <c r="F27" s="321"/>
      <c r="G27" s="75"/>
      <c r="H27" s="76"/>
      <c r="I27" s="4"/>
      <c r="J27" s="1"/>
      <c r="K27" s="1"/>
      <c r="L27" s="1"/>
    </row>
    <row r="28" spans="1:12">
      <c r="A28" s="357" t="s">
        <v>173</v>
      </c>
      <c r="B28" s="355">
        <f>B20</f>
        <v>73</v>
      </c>
      <c r="C28" s="245">
        <f>10^(($B$28-B28)/10)*150</f>
        <v>150</v>
      </c>
      <c r="D28" s="367" t="s">
        <v>181</v>
      </c>
      <c r="E28" s="75"/>
      <c r="F28" s="321"/>
      <c r="G28" s="75"/>
      <c r="H28" s="76"/>
      <c r="I28" s="4"/>
      <c r="J28" s="1"/>
      <c r="K28" s="1"/>
      <c r="L28" s="1"/>
    </row>
    <row r="29" spans="1:12">
      <c r="A29" s="73"/>
      <c r="B29" s="355">
        <f>B28+0.5</f>
        <v>73.5</v>
      </c>
      <c r="C29" s="245">
        <f t="shared" ref="C29:C44" si="4">10^(($B$28-B29)/10)*150</f>
        <v>133.68764072006181</v>
      </c>
      <c r="D29" s="75"/>
      <c r="E29" s="75"/>
      <c r="F29" s="321"/>
      <c r="G29" s="75"/>
      <c r="H29" s="76"/>
      <c r="I29" s="4"/>
      <c r="J29" s="1"/>
      <c r="K29" s="1"/>
      <c r="L29" s="1"/>
    </row>
    <row r="30" spans="1:12">
      <c r="A30" s="73"/>
      <c r="B30" s="355">
        <f t="shared" ref="B30:B44" si="5">B29+0.5</f>
        <v>74</v>
      </c>
      <c r="C30" s="245">
        <f t="shared" si="4"/>
        <v>119.14923520864222</v>
      </c>
      <c r="D30" s="75"/>
      <c r="E30" s="75"/>
      <c r="F30" s="321"/>
      <c r="G30" s="75"/>
      <c r="H30" s="76"/>
      <c r="I30" s="4"/>
      <c r="J30" s="1"/>
      <c r="K30" s="1"/>
      <c r="L30" s="1"/>
    </row>
    <row r="31" spans="1:12">
      <c r="A31" s="73"/>
      <c r="B31" s="355">
        <f t="shared" si="5"/>
        <v>74.5</v>
      </c>
      <c r="C31" s="245">
        <f t="shared" si="4"/>
        <v>106.19186765762069</v>
      </c>
      <c r="D31" s="75"/>
      <c r="E31" s="75"/>
      <c r="F31" s="321"/>
      <c r="G31" s="75"/>
      <c r="H31" s="76"/>
      <c r="I31" s="4"/>
      <c r="J31" s="1"/>
      <c r="K31" s="1"/>
      <c r="L31" s="1"/>
    </row>
    <row r="32" spans="1:12">
      <c r="A32" s="73"/>
      <c r="B32" s="355">
        <f t="shared" si="5"/>
        <v>75</v>
      </c>
      <c r="C32" s="245">
        <f t="shared" si="4"/>
        <v>94.643601672028993</v>
      </c>
      <c r="D32" s="75"/>
      <c r="E32" s="75"/>
      <c r="F32" s="321"/>
      <c r="G32" s="75"/>
      <c r="H32" s="76"/>
      <c r="I32" s="4"/>
      <c r="J32" s="1"/>
      <c r="K32" s="1"/>
      <c r="L32" s="1"/>
    </row>
    <row r="33" spans="1:12">
      <c r="A33" s="73"/>
      <c r="B33" s="355">
        <f t="shared" si="5"/>
        <v>75.5</v>
      </c>
      <c r="C33" s="245">
        <f t="shared" si="4"/>
        <v>84.351198778552359</v>
      </c>
      <c r="D33" s="75"/>
      <c r="E33" s="75"/>
      <c r="F33" s="321"/>
      <c r="G33" s="75"/>
      <c r="H33" s="76"/>
      <c r="I33" s="4"/>
      <c r="J33" s="1"/>
      <c r="K33" s="1"/>
      <c r="L33" s="1"/>
    </row>
    <row r="34" spans="1:12">
      <c r="A34" s="73"/>
      <c r="B34" s="355">
        <f t="shared" si="5"/>
        <v>76</v>
      </c>
      <c r="C34" s="245">
        <f t="shared" si="4"/>
        <v>75.178085044090835</v>
      </c>
      <c r="D34" s="176"/>
      <c r="E34" s="75"/>
      <c r="F34" s="325"/>
      <c r="G34" s="177"/>
      <c r="H34" s="76"/>
      <c r="I34" s="4"/>
      <c r="J34" s="1"/>
      <c r="K34" s="1"/>
      <c r="L34" s="1"/>
    </row>
    <row r="35" spans="1:12">
      <c r="A35" s="73"/>
      <c r="B35" s="355">
        <f t="shared" si="5"/>
        <v>76.5</v>
      </c>
      <c r="C35" s="245">
        <f t="shared" si="4"/>
        <v>67.002538822644468</v>
      </c>
      <c r="D35" s="75"/>
      <c r="E35" s="75"/>
      <c r="F35" s="321"/>
      <c r="G35" s="75"/>
      <c r="H35" s="76"/>
      <c r="I35" s="4"/>
      <c r="J35" s="1"/>
      <c r="K35" s="1"/>
      <c r="L35" s="1"/>
    </row>
    <row r="36" spans="1:12">
      <c r="A36" s="1"/>
      <c r="B36" s="355">
        <f t="shared" si="5"/>
        <v>77</v>
      </c>
      <c r="C36" s="245">
        <f t="shared" si="4"/>
        <v>59.716075583024583</v>
      </c>
      <c r="D36" s="1"/>
      <c r="E36" s="1"/>
      <c r="F36" s="322"/>
      <c r="G36" s="1"/>
      <c r="H36" s="1"/>
      <c r="I36" s="4"/>
      <c r="J36" s="1"/>
      <c r="K36" s="1"/>
      <c r="L36" s="1"/>
    </row>
    <row r="37" spans="1:12">
      <c r="A37" s="1"/>
      <c r="B37" s="355">
        <f t="shared" si="5"/>
        <v>77.5</v>
      </c>
      <c r="C37" s="245">
        <f t="shared" si="4"/>
        <v>53.222008385036311</v>
      </c>
      <c r="D37" s="4"/>
      <c r="E37" s="4"/>
      <c r="F37" s="323"/>
      <c r="G37" s="4"/>
      <c r="H37" s="4"/>
      <c r="I37" s="4"/>
      <c r="J37" s="1"/>
      <c r="K37" s="1"/>
      <c r="L37" s="1"/>
    </row>
    <row r="38" spans="1:12">
      <c r="B38" s="355">
        <f t="shared" si="5"/>
        <v>78</v>
      </c>
      <c r="C38" s="245">
        <f t="shared" si="4"/>
        <v>47.434164902525694</v>
      </c>
      <c r="D38" s="4"/>
      <c r="E38" s="4"/>
      <c r="F38" s="323"/>
      <c r="G38" s="4"/>
      <c r="H38" s="4"/>
      <c r="I38" s="4"/>
    </row>
    <row r="39" spans="1:12">
      <c r="B39" s="355">
        <f t="shared" si="5"/>
        <v>78.5</v>
      </c>
      <c r="C39" s="245">
        <f t="shared" si="4"/>
        <v>42.2757439689668</v>
      </c>
      <c r="D39" s="4"/>
      <c r="E39" s="4"/>
      <c r="F39" s="323"/>
      <c r="G39" s="4"/>
      <c r="H39" s="4"/>
      <c r="I39" s="4"/>
    </row>
    <row r="40" spans="1:12">
      <c r="B40" s="355">
        <f t="shared" si="5"/>
        <v>79</v>
      </c>
      <c r="C40" s="245">
        <f t="shared" si="4"/>
        <v>37.678296472643702</v>
      </c>
      <c r="D40" s="4"/>
      <c r="E40" s="4"/>
      <c r="F40" s="323"/>
      <c r="G40" s="4"/>
      <c r="H40" s="4"/>
      <c r="I40" s="4"/>
    </row>
    <row r="41" spans="1:12">
      <c r="B41" s="355">
        <f t="shared" si="5"/>
        <v>79.5</v>
      </c>
      <c r="C41" s="245">
        <f t="shared" si="4"/>
        <v>33.580817078525087</v>
      </c>
      <c r="D41" s="4"/>
      <c r="E41" s="4"/>
      <c r="F41" s="323"/>
      <c r="G41" s="4"/>
      <c r="H41" s="4"/>
      <c r="I41" s="4"/>
    </row>
    <row r="42" spans="1:12">
      <c r="B42" s="355">
        <f t="shared" si="5"/>
        <v>80</v>
      </c>
      <c r="C42" s="245">
        <f t="shared" si="4"/>
        <v>29.928934724533192</v>
      </c>
      <c r="D42" s="4"/>
      <c r="E42" s="4"/>
      <c r="F42" s="323"/>
      <c r="G42" s="4"/>
      <c r="H42" s="4"/>
      <c r="I42" s="4"/>
    </row>
    <row r="43" spans="1:12">
      <c r="B43" s="355">
        <f t="shared" si="5"/>
        <v>80.5</v>
      </c>
      <c r="C43" s="245">
        <f t="shared" si="4"/>
        <v>26.674191150583834</v>
      </c>
      <c r="D43" s="4"/>
      <c r="E43" s="4"/>
      <c r="F43" s="323"/>
      <c r="G43" s="4"/>
      <c r="H43" s="4"/>
      <c r="I43" s="4"/>
    </row>
    <row r="44" spans="1:12">
      <c r="A44" s="340" t="s">
        <v>174</v>
      </c>
      <c r="B44" s="355">
        <f t="shared" si="5"/>
        <v>81</v>
      </c>
      <c r="C44" s="245">
        <f t="shared" si="4"/>
        <v>23.773397886916698</v>
      </c>
      <c r="D44" s="366" t="s">
        <v>182</v>
      </c>
      <c r="E44" s="4"/>
      <c r="F44" s="323"/>
      <c r="G44" s="4"/>
      <c r="H44" s="4"/>
      <c r="I44" s="4"/>
    </row>
    <row r="45" spans="1:12">
      <c r="B45" s="355"/>
      <c r="C45" s="342"/>
      <c r="D45" s="4"/>
      <c r="E45" s="4"/>
      <c r="F45" s="323"/>
      <c r="G45" s="4"/>
      <c r="H45" s="4"/>
      <c r="I45" s="4"/>
    </row>
    <row r="46" spans="1:12">
      <c r="B46" s="355"/>
      <c r="C46" s="342"/>
      <c r="D46" s="4"/>
      <c r="E46" s="4"/>
      <c r="F46" s="323"/>
      <c r="G46" s="4"/>
      <c r="H46" s="4"/>
      <c r="I46" s="4"/>
    </row>
    <row r="47" spans="1:12">
      <c r="B47" s="74"/>
      <c r="C47" s="204"/>
      <c r="D47" s="4"/>
      <c r="E47" s="4"/>
      <c r="F47" s="323"/>
      <c r="G47" s="4"/>
      <c r="H47" s="4"/>
      <c r="I47" s="4"/>
    </row>
    <row r="48" spans="1:12">
      <c r="B48" s="74"/>
      <c r="C48" s="204"/>
      <c r="D48" s="4"/>
      <c r="E48" s="4"/>
      <c r="F48" s="323"/>
      <c r="G48" s="4"/>
      <c r="H48" s="4"/>
      <c r="I48" s="4"/>
    </row>
    <row r="49" spans="2:9">
      <c r="B49" s="74"/>
      <c r="C49" s="204"/>
      <c r="D49" s="4"/>
      <c r="E49" s="4"/>
      <c r="F49" s="323"/>
      <c r="G49" s="4"/>
      <c r="H49" s="4"/>
      <c r="I49" s="4"/>
    </row>
    <row r="50" spans="2:9">
      <c r="B50" s="74"/>
      <c r="C50" s="204"/>
      <c r="D50" s="4"/>
      <c r="E50" s="4"/>
      <c r="F50" s="323"/>
      <c r="G50" s="4"/>
      <c r="H50" s="4"/>
      <c r="I50" s="4"/>
    </row>
    <row r="51" spans="2:9">
      <c r="B51" s="74"/>
      <c r="C51" s="204"/>
      <c r="D51" s="4"/>
      <c r="E51" s="4"/>
      <c r="F51" s="323"/>
      <c r="G51" s="4"/>
      <c r="H51" s="4"/>
      <c r="I51" s="4"/>
    </row>
    <row r="52" spans="2:9">
      <c r="B52" s="74"/>
      <c r="C52" s="204"/>
      <c r="D52" s="4"/>
      <c r="E52" s="4"/>
      <c r="F52" s="323"/>
      <c r="G52" s="4"/>
      <c r="H52" s="4"/>
      <c r="I52" s="4"/>
    </row>
    <row r="53" spans="2:9">
      <c r="B53" s="74"/>
    </row>
    <row r="54" spans="2:9">
      <c r="B54" s="74"/>
    </row>
  </sheetData>
  <phoneticPr fontId="23" type="noConversion"/>
  <printOptions gridLines="1"/>
  <pageMargins left="0.75" right="0.75" top="0.5" bottom="0.5" header="0.5" footer="0.5"/>
  <pageSetup scale="79"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C19"/>
  <sheetViews>
    <sheetView workbookViewId="0"/>
  </sheetViews>
  <sheetFormatPr defaultColWidth="8.85546875" defaultRowHeight="12.75"/>
  <cols>
    <col min="1" max="1" width="28.7109375" customWidth="1"/>
    <col min="2" max="2" width="5.7109375" style="3" customWidth="1"/>
    <col min="3" max="26" width="5.7109375" customWidth="1"/>
  </cols>
  <sheetData>
    <row r="1" spans="1:29" ht="18.75">
      <c r="A1" s="45" t="s">
        <v>228</v>
      </c>
      <c r="B1" s="42"/>
      <c r="C1" s="31"/>
      <c r="D1" s="31"/>
      <c r="E1" s="31"/>
      <c r="F1" s="255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214"/>
      <c r="AB1" s="214"/>
    </row>
    <row r="2" spans="1:29">
      <c r="B2" s="246" t="s">
        <v>248</v>
      </c>
      <c r="C2" s="246" t="s">
        <v>268</v>
      </c>
      <c r="D2" s="246" t="s">
        <v>269</v>
      </c>
      <c r="E2" s="246" t="s">
        <v>270</v>
      </c>
      <c r="F2" s="246" t="s">
        <v>265</v>
      </c>
      <c r="G2" s="246" t="s">
        <v>271</v>
      </c>
      <c r="H2" s="246" t="s">
        <v>272</v>
      </c>
      <c r="I2" s="246" t="s">
        <v>273</v>
      </c>
      <c r="J2" s="246" t="s">
        <v>274</v>
      </c>
      <c r="K2" s="246" t="s">
        <v>275</v>
      </c>
      <c r="L2" s="246" t="s">
        <v>276</v>
      </c>
      <c r="M2" s="246" t="s">
        <v>277</v>
      </c>
      <c r="N2" s="246" t="s">
        <v>278</v>
      </c>
      <c r="O2" s="246" t="s">
        <v>279</v>
      </c>
      <c r="P2" s="246" t="s">
        <v>280</v>
      </c>
      <c r="Q2" s="246" t="s">
        <v>281</v>
      </c>
      <c r="R2" s="246" t="s">
        <v>282</v>
      </c>
      <c r="S2" s="246" t="s">
        <v>283</v>
      </c>
      <c r="T2" s="246" t="s">
        <v>284</v>
      </c>
      <c r="U2" s="246" t="s">
        <v>285</v>
      </c>
      <c r="V2" s="246" t="s">
        <v>286</v>
      </c>
      <c r="W2" s="246" t="s">
        <v>287</v>
      </c>
      <c r="X2" s="246" t="s">
        <v>288</v>
      </c>
      <c r="Y2" s="246" t="s">
        <v>290</v>
      </c>
      <c r="Z2" s="246" t="s">
        <v>289</v>
      </c>
      <c r="AA2" s="214"/>
      <c r="AB2" s="214"/>
    </row>
    <row r="3" spans="1:29" s="67" customFormat="1">
      <c r="A3" s="170"/>
      <c r="B3" s="368">
        <v>1</v>
      </c>
      <c r="C3" s="368">
        <v>2</v>
      </c>
      <c r="D3" s="368">
        <v>3</v>
      </c>
      <c r="E3" s="368">
        <v>4</v>
      </c>
      <c r="F3" s="368">
        <v>5</v>
      </c>
      <c r="G3" s="368">
        <v>6</v>
      </c>
      <c r="H3" s="368">
        <v>7</v>
      </c>
      <c r="I3" s="368">
        <v>8</v>
      </c>
      <c r="J3" s="368">
        <v>9</v>
      </c>
      <c r="K3" s="368">
        <v>10</v>
      </c>
      <c r="L3" s="368">
        <v>11</v>
      </c>
      <c r="M3" s="368">
        <v>12</v>
      </c>
      <c r="N3" s="368">
        <v>13</v>
      </c>
      <c r="O3" s="368">
        <v>14</v>
      </c>
      <c r="P3" s="368">
        <v>15</v>
      </c>
      <c r="Q3" s="368">
        <v>16</v>
      </c>
      <c r="R3" s="368">
        <v>17</v>
      </c>
      <c r="S3" s="368">
        <v>18</v>
      </c>
      <c r="T3" s="368">
        <v>19</v>
      </c>
      <c r="U3" s="368">
        <v>20</v>
      </c>
      <c r="V3" s="368">
        <v>21</v>
      </c>
      <c r="W3" s="368">
        <v>22</v>
      </c>
      <c r="X3" s="368">
        <v>23</v>
      </c>
      <c r="Y3" s="368">
        <v>24</v>
      </c>
      <c r="Z3" s="368">
        <v>25</v>
      </c>
      <c r="AA3" s="195" t="s">
        <v>76</v>
      </c>
      <c r="AB3" s="195" t="s">
        <v>54</v>
      </c>
      <c r="AC3" s="171" t="s">
        <v>28</v>
      </c>
    </row>
    <row r="4" spans="1:29" s="67" customFormat="1" ht="15">
      <c r="A4" s="337" t="s">
        <v>156</v>
      </c>
      <c r="B4" s="446">
        <v>54</v>
      </c>
      <c r="C4" s="369">
        <v>42.5</v>
      </c>
      <c r="D4" s="369">
        <v>41</v>
      </c>
      <c r="E4" s="369">
        <v>62</v>
      </c>
      <c r="F4" s="369">
        <v>80</v>
      </c>
      <c r="G4" s="369"/>
      <c r="H4" s="369"/>
      <c r="I4" s="369">
        <v>80</v>
      </c>
      <c r="J4" s="369"/>
      <c r="K4" s="369">
        <v>71</v>
      </c>
      <c r="L4" s="369"/>
      <c r="M4" s="369">
        <v>90</v>
      </c>
      <c r="N4" s="369">
        <v>44</v>
      </c>
      <c r="O4" s="369">
        <v>52.5</v>
      </c>
      <c r="P4" s="369">
        <v>40</v>
      </c>
      <c r="Q4" s="370">
        <v>43</v>
      </c>
      <c r="R4" s="371">
        <v>82.5</v>
      </c>
      <c r="S4" s="371"/>
      <c r="T4" s="371">
        <v>75</v>
      </c>
      <c r="U4" s="371">
        <v>55</v>
      </c>
      <c r="V4" s="371">
        <v>37.5</v>
      </c>
      <c r="W4" s="371">
        <v>62.5</v>
      </c>
      <c r="X4" s="371">
        <v>62.5</v>
      </c>
      <c r="Y4" s="371"/>
      <c r="Z4" s="371">
        <v>67.5</v>
      </c>
      <c r="AA4" s="358">
        <f t="shared" ref="AA4:AA16" si="0">AVERAGE(B4:Z4)</f>
        <v>60.131578947368418</v>
      </c>
      <c r="AB4" s="358">
        <f>IF(AA4&lt;5,5,AA4)</f>
        <v>60.131578947368418</v>
      </c>
      <c r="AC4" s="194">
        <f t="shared" ref="AC4:AC16" si="1">RANK(AB4,$AB$4:$AB$17)</f>
        <v>6</v>
      </c>
    </row>
    <row r="5" spans="1:29" s="67" customFormat="1" ht="15">
      <c r="A5" s="337" t="s">
        <v>205</v>
      </c>
      <c r="B5" s="446">
        <v>51</v>
      </c>
      <c r="C5" s="369">
        <v>60</v>
      </c>
      <c r="D5" s="369">
        <v>48</v>
      </c>
      <c r="E5" s="369">
        <v>75</v>
      </c>
      <c r="F5" s="369">
        <v>84</v>
      </c>
      <c r="G5" s="369"/>
      <c r="H5" s="369"/>
      <c r="I5" s="369">
        <v>92.5</v>
      </c>
      <c r="J5" s="369"/>
      <c r="K5" s="369">
        <v>79</v>
      </c>
      <c r="L5" s="369"/>
      <c r="M5" s="369">
        <v>100</v>
      </c>
      <c r="N5" s="369">
        <v>81.5</v>
      </c>
      <c r="O5" s="369">
        <v>87</v>
      </c>
      <c r="P5" s="369">
        <v>42.5</v>
      </c>
      <c r="Q5" s="370">
        <v>61</v>
      </c>
      <c r="R5" s="371">
        <v>80</v>
      </c>
      <c r="S5" s="371"/>
      <c r="T5" s="371">
        <v>80</v>
      </c>
      <c r="U5" s="371">
        <v>75</v>
      </c>
      <c r="V5" s="371">
        <v>62.5</v>
      </c>
      <c r="W5" s="371">
        <v>77.5</v>
      </c>
      <c r="X5" s="371">
        <v>92.5</v>
      </c>
      <c r="Y5" s="371"/>
      <c r="Z5" s="371">
        <v>60</v>
      </c>
      <c r="AA5" s="358">
        <f t="shared" si="0"/>
        <v>73.10526315789474</v>
      </c>
      <c r="AB5" s="358">
        <f>IF(AA5&lt;5,5,AA5)</f>
        <v>73.10526315789474</v>
      </c>
      <c r="AC5" s="194">
        <f t="shared" si="1"/>
        <v>1</v>
      </c>
    </row>
    <row r="6" spans="1:29" s="172" customFormat="1" ht="26.25">
      <c r="A6" s="337" t="s">
        <v>196</v>
      </c>
      <c r="B6" s="446">
        <v>43</v>
      </c>
      <c r="C6" s="369">
        <v>45</v>
      </c>
      <c r="D6" s="369">
        <v>54</v>
      </c>
      <c r="E6" s="369">
        <v>73</v>
      </c>
      <c r="F6" s="369">
        <v>75</v>
      </c>
      <c r="G6" s="369">
        <v>79.5</v>
      </c>
      <c r="H6" s="369"/>
      <c r="I6" s="369">
        <v>95</v>
      </c>
      <c r="J6" s="369"/>
      <c r="K6" s="369">
        <v>64.5</v>
      </c>
      <c r="L6" s="369"/>
      <c r="M6" s="369">
        <v>92.5</v>
      </c>
      <c r="N6" s="369">
        <v>56</v>
      </c>
      <c r="O6" s="369">
        <v>58</v>
      </c>
      <c r="P6" s="369">
        <v>52.5</v>
      </c>
      <c r="Q6" s="370">
        <v>50</v>
      </c>
      <c r="R6" s="371">
        <v>72.5</v>
      </c>
      <c r="S6" s="371"/>
      <c r="T6" s="371">
        <v>72.5</v>
      </c>
      <c r="U6" s="371">
        <v>73</v>
      </c>
      <c r="V6" s="371">
        <v>42.5</v>
      </c>
      <c r="W6" s="371">
        <v>50</v>
      </c>
      <c r="X6" s="371">
        <v>67.5</v>
      </c>
      <c r="Y6" s="371">
        <v>70.5</v>
      </c>
      <c r="Z6" s="371">
        <v>60</v>
      </c>
      <c r="AA6" s="358">
        <f t="shared" si="0"/>
        <v>64.11904761904762</v>
      </c>
      <c r="AB6" s="358">
        <f t="shared" ref="AB6:AB16" si="2">IF(AA6&lt;5,5,AA6)</f>
        <v>64.11904761904762</v>
      </c>
      <c r="AC6" s="246">
        <f t="shared" si="1"/>
        <v>5</v>
      </c>
    </row>
    <row r="7" spans="1:29" s="67" customFormat="1" ht="15">
      <c r="A7" s="343" t="s">
        <v>197</v>
      </c>
      <c r="B7" s="446">
        <v>34</v>
      </c>
      <c r="C7" s="371">
        <v>47.5</v>
      </c>
      <c r="D7" s="371">
        <v>37</v>
      </c>
      <c r="E7" s="370"/>
      <c r="F7" s="371">
        <v>70.5</v>
      </c>
      <c r="G7" s="370"/>
      <c r="H7" s="371"/>
      <c r="I7" s="371">
        <v>45</v>
      </c>
      <c r="J7" s="370">
        <v>60</v>
      </c>
      <c r="K7" s="370">
        <v>56.5</v>
      </c>
      <c r="L7" s="370">
        <v>55</v>
      </c>
      <c r="M7" s="370">
        <v>72.5</v>
      </c>
      <c r="N7" s="371"/>
      <c r="O7" s="369"/>
      <c r="P7" s="369">
        <v>35</v>
      </c>
      <c r="Q7" s="370"/>
      <c r="R7" s="371"/>
      <c r="S7" s="371">
        <v>47.5</v>
      </c>
      <c r="T7" s="371">
        <v>57.5</v>
      </c>
      <c r="U7" s="371">
        <v>62</v>
      </c>
      <c r="V7" s="371">
        <v>40</v>
      </c>
      <c r="W7" s="371">
        <v>32.5</v>
      </c>
      <c r="X7" s="371"/>
      <c r="Y7" s="371"/>
      <c r="Z7" s="371">
        <v>55</v>
      </c>
      <c r="AA7" s="358">
        <f t="shared" si="0"/>
        <v>50.46875</v>
      </c>
      <c r="AB7" s="358">
        <f t="shared" si="2"/>
        <v>50.46875</v>
      </c>
      <c r="AC7" s="246">
        <f t="shared" si="1"/>
        <v>12</v>
      </c>
    </row>
    <row r="8" spans="1:29" s="67" customFormat="1" ht="15">
      <c r="A8" s="337" t="s">
        <v>204</v>
      </c>
      <c r="B8" s="446">
        <v>48</v>
      </c>
      <c r="C8" s="371">
        <v>75</v>
      </c>
      <c r="D8" s="371">
        <v>63</v>
      </c>
      <c r="E8" s="370">
        <v>34</v>
      </c>
      <c r="F8" s="371"/>
      <c r="G8" s="370"/>
      <c r="H8" s="371"/>
      <c r="I8" s="371">
        <v>85</v>
      </c>
      <c r="J8" s="370">
        <v>77.5</v>
      </c>
      <c r="K8" s="370">
        <v>84.5</v>
      </c>
      <c r="L8" s="370">
        <v>90</v>
      </c>
      <c r="M8" s="370">
        <v>77.5</v>
      </c>
      <c r="N8" s="371"/>
      <c r="O8" s="371"/>
      <c r="P8" s="371">
        <v>27.5</v>
      </c>
      <c r="Q8" s="370"/>
      <c r="R8" s="371">
        <v>62.5</v>
      </c>
      <c r="S8" s="371">
        <v>65</v>
      </c>
      <c r="T8" s="371">
        <v>75</v>
      </c>
      <c r="U8" s="371">
        <v>69</v>
      </c>
      <c r="V8" s="371">
        <v>67.5</v>
      </c>
      <c r="W8" s="371">
        <v>32.5</v>
      </c>
      <c r="X8" s="371"/>
      <c r="Y8" s="371"/>
      <c r="Z8" s="371">
        <v>57.5</v>
      </c>
      <c r="AA8" s="358">
        <f t="shared" si="0"/>
        <v>64.17647058823529</v>
      </c>
      <c r="AB8" s="358">
        <f t="shared" si="2"/>
        <v>64.17647058823529</v>
      </c>
      <c r="AC8" s="246">
        <f t="shared" si="1"/>
        <v>4</v>
      </c>
    </row>
    <row r="9" spans="1:29" s="291" customFormat="1" ht="15">
      <c r="A9" s="344" t="s">
        <v>199</v>
      </c>
      <c r="B9" s="446">
        <v>48</v>
      </c>
      <c r="C9" s="371">
        <v>67.5</v>
      </c>
      <c r="D9" s="371">
        <v>69</v>
      </c>
      <c r="E9" s="370">
        <v>61</v>
      </c>
      <c r="F9" s="371">
        <v>86</v>
      </c>
      <c r="G9" s="370"/>
      <c r="H9" s="290">
        <v>65</v>
      </c>
      <c r="I9" s="371">
        <v>77.5</v>
      </c>
      <c r="J9" s="370"/>
      <c r="K9" s="370">
        <v>73.5</v>
      </c>
      <c r="L9" s="370"/>
      <c r="M9" s="370">
        <v>100</v>
      </c>
      <c r="N9" s="371">
        <v>68</v>
      </c>
      <c r="O9" s="371">
        <v>93.5</v>
      </c>
      <c r="P9" s="371">
        <v>30</v>
      </c>
      <c r="Q9" s="370">
        <v>55</v>
      </c>
      <c r="R9" s="371">
        <v>85</v>
      </c>
      <c r="S9" s="371"/>
      <c r="T9" s="371">
        <v>87.5</v>
      </c>
      <c r="U9" s="371">
        <v>70</v>
      </c>
      <c r="V9" s="371">
        <v>57.5</v>
      </c>
      <c r="W9" s="371">
        <v>60</v>
      </c>
      <c r="X9" s="371"/>
      <c r="Y9" s="371"/>
      <c r="Z9" s="371">
        <v>67.5</v>
      </c>
      <c r="AA9" s="358">
        <f t="shared" si="0"/>
        <v>69.55263157894737</v>
      </c>
      <c r="AB9" s="358">
        <f t="shared" si="2"/>
        <v>69.55263157894737</v>
      </c>
      <c r="AC9" s="246">
        <f t="shared" si="1"/>
        <v>2</v>
      </c>
    </row>
    <row r="10" spans="1:29" s="67" customFormat="1" ht="18.75" customHeight="1">
      <c r="A10" s="343" t="s">
        <v>200</v>
      </c>
      <c r="B10" s="446">
        <v>47</v>
      </c>
      <c r="C10" s="371">
        <v>70</v>
      </c>
      <c r="D10" s="371">
        <v>66</v>
      </c>
      <c r="E10" s="371">
        <v>75</v>
      </c>
      <c r="F10" s="371"/>
      <c r="G10" s="371"/>
      <c r="H10" s="371"/>
      <c r="I10" s="371">
        <v>65</v>
      </c>
      <c r="J10" s="371"/>
      <c r="K10" s="371">
        <v>76</v>
      </c>
      <c r="L10" s="371">
        <v>70</v>
      </c>
      <c r="M10" s="371">
        <v>97.5</v>
      </c>
      <c r="N10" s="371"/>
      <c r="O10" s="371"/>
      <c r="P10" s="371">
        <v>45</v>
      </c>
      <c r="Q10" s="348"/>
      <c r="R10" s="371">
        <v>67.5</v>
      </c>
      <c r="S10" s="371">
        <v>67.5</v>
      </c>
      <c r="T10" s="371">
        <v>82.5</v>
      </c>
      <c r="U10" s="371">
        <v>79</v>
      </c>
      <c r="V10" s="371">
        <v>60</v>
      </c>
      <c r="W10" s="371">
        <v>72.5</v>
      </c>
      <c r="X10" s="371"/>
      <c r="Y10" s="371"/>
      <c r="Z10" s="371">
        <v>70</v>
      </c>
      <c r="AA10" s="358">
        <f t="shared" si="0"/>
        <v>69.40625</v>
      </c>
      <c r="AB10" s="358">
        <f t="shared" si="2"/>
        <v>69.40625</v>
      </c>
      <c r="AC10" s="194">
        <f t="shared" si="1"/>
        <v>3</v>
      </c>
    </row>
    <row r="11" spans="1:29" s="67" customFormat="1" ht="15">
      <c r="A11" s="344" t="s">
        <v>212</v>
      </c>
      <c r="B11" s="290">
        <v>45</v>
      </c>
      <c r="C11" s="371">
        <v>40</v>
      </c>
      <c r="D11" s="371">
        <v>50</v>
      </c>
      <c r="E11" s="371">
        <v>58</v>
      </c>
      <c r="F11" s="371">
        <v>79</v>
      </c>
      <c r="G11" s="371">
        <v>65</v>
      </c>
      <c r="H11" s="371">
        <v>40</v>
      </c>
      <c r="I11" s="371">
        <v>60</v>
      </c>
      <c r="J11" s="371"/>
      <c r="K11" s="371">
        <v>62.5</v>
      </c>
      <c r="L11" s="371">
        <v>72.5</v>
      </c>
      <c r="M11" s="371">
        <v>95</v>
      </c>
      <c r="N11" s="371">
        <v>71.5</v>
      </c>
      <c r="O11" s="371">
        <v>78</v>
      </c>
      <c r="P11" s="371">
        <v>32.5</v>
      </c>
      <c r="Q11" s="290">
        <v>32.5</v>
      </c>
      <c r="R11" s="371">
        <v>62.5</v>
      </c>
      <c r="S11" s="371">
        <v>37.5</v>
      </c>
      <c r="T11" s="371">
        <v>77.5</v>
      </c>
      <c r="U11" s="371">
        <v>75</v>
      </c>
      <c r="V11" s="371">
        <v>45</v>
      </c>
      <c r="W11" s="371">
        <v>47.5</v>
      </c>
      <c r="X11" s="371"/>
      <c r="Y11" s="371"/>
      <c r="Z11" s="371">
        <v>60</v>
      </c>
      <c r="AA11" s="358">
        <f t="shared" si="0"/>
        <v>58.477272727272727</v>
      </c>
      <c r="AB11" s="358">
        <f t="shared" si="2"/>
        <v>58.477272727272727</v>
      </c>
      <c r="AC11" s="194">
        <f t="shared" si="1"/>
        <v>7</v>
      </c>
    </row>
    <row r="12" spans="1:29" s="291" customFormat="1" ht="15">
      <c r="A12" s="344" t="s">
        <v>214</v>
      </c>
      <c r="B12" s="290">
        <v>35</v>
      </c>
      <c r="C12" s="371">
        <v>50</v>
      </c>
      <c r="D12" s="371">
        <v>50</v>
      </c>
      <c r="E12" s="371">
        <v>49</v>
      </c>
      <c r="F12" s="371">
        <v>75</v>
      </c>
      <c r="G12" s="371"/>
      <c r="H12" s="371"/>
      <c r="I12" s="371">
        <v>55</v>
      </c>
      <c r="J12" s="371"/>
      <c r="K12" s="371">
        <v>56.5</v>
      </c>
      <c r="L12" s="371"/>
      <c r="M12" s="371">
        <v>97.5</v>
      </c>
      <c r="N12" s="371">
        <v>55</v>
      </c>
      <c r="O12" s="371">
        <v>32</v>
      </c>
      <c r="P12" s="371">
        <v>30</v>
      </c>
      <c r="Q12" s="290">
        <v>48.5</v>
      </c>
      <c r="R12" s="371">
        <v>70</v>
      </c>
      <c r="S12" s="371"/>
      <c r="T12" s="371"/>
      <c r="U12" s="371">
        <v>66</v>
      </c>
      <c r="V12" s="371">
        <v>57.5</v>
      </c>
      <c r="W12" s="371">
        <v>40</v>
      </c>
      <c r="X12" s="371">
        <v>37.5</v>
      </c>
      <c r="Y12" s="371"/>
      <c r="Z12" s="371">
        <v>72.5</v>
      </c>
      <c r="AA12" s="358">
        <f t="shared" si="0"/>
        <v>54.277777777777779</v>
      </c>
      <c r="AB12" s="358">
        <f t="shared" si="2"/>
        <v>54.277777777777779</v>
      </c>
      <c r="AC12" s="194">
        <f t="shared" si="1"/>
        <v>10</v>
      </c>
    </row>
    <row r="13" spans="1:29" s="67" customFormat="1" ht="15">
      <c r="A13" s="344" t="s">
        <v>215</v>
      </c>
      <c r="B13" s="290">
        <v>39</v>
      </c>
      <c r="C13" s="371">
        <v>45</v>
      </c>
      <c r="D13" s="371">
        <v>25</v>
      </c>
      <c r="E13" s="371">
        <v>43</v>
      </c>
      <c r="F13" s="371"/>
      <c r="G13" s="371">
        <v>61</v>
      </c>
      <c r="H13" s="371">
        <v>62.5</v>
      </c>
      <c r="I13" s="371">
        <v>70</v>
      </c>
      <c r="J13" s="371"/>
      <c r="K13" s="371">
        <v>71</v>
      </c>
      <c r="L13" s="371">
        <v>55</v>
      </c>
      <c r="M13" s="371">
        <v>92.5</v>
      </c>
      <c r="N13" s="371">
        <v>46.5</v>
      </c>
      <c r="O13" s="371">
        <v>50</v>
      </c>
      <c r="P13" s="371">
        <v>35</v>
      </c>
      <c r="Q13" s="348"/>
      <c r="R13" s="371">
        <v>70</v>
      </c>
      <c r="S13" s="371">
        <v>72.5</v>
      </c>
      <c r="T13" s="371">
        <v>67.5</v>
      </c>
      <c r="U13" s="371">
        <v>68</v>
      </c>
      <c r="V13" s="371">
        <v>52.5</v>
      </c>
      <c r="W13" s="371">
        <v>47.5</v>
      </c>
      <c r="X13" s="371"/>
      <c r="Y13" s="371"/>
      <c r="Z13" s="371">
        <v>75</v>
      </c>
      <c r="AA13" s="358">
        <f t="shared" si="0"/>
        <v>57.424999999999997</v>
      </c>
      <c r="AB13" s="358">
        <f t="shared" si="2"/>
        <v>57.424999999999997</v>
      </c>
      <c r="AC13" s="194">
        <f t="shared" si="1"/>
        <v>8</v>
      </c>
    </row>
    <row r="14" spans="1:29" s="67" customFormat="1" ht="15">
      <c r="A14" s="438" t="s">
        <v>250</v>
      </c>
      <c r="B14" s="290"/>
      <c r="C14" s="371"/>
      <c r="D14" s="37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48"/>
      <c r="R14" s="371"/>
      <c r="S14" s="371"/>
      <c r="T14" s="371"/>
      <c r="U14" s="371"/>
      <c r="V14" s="371"/>
      <c r="W14" s="371"/>
      <c r="X14" s="371"/>
      <c r="Y14" s="371"/>
      <c r="Z14" s="371"/>
      <c r="AA14" s="358"/>
      <c r="AB14" s="358"/>
      <c r="AC14" s="194"/>
    </row>
    <row r="15" spans="1:29" s="67" customFormat="1" ht="15">
      <c r="A15" s="344" t="s">
        <v>217</v>
      </c>
      <c r="B15" s="290">
        <v>40</v>
      </c>
      <c r="C15" s="371">
        <v>32</v>
      </c>
      <c r="D15" s="371">
        <v>52</v>
      </c>
      <c r="E15" s="371">
        <v>45</v>
      </c>
      <c r="F15" s="371"/>
      <c r="G15" s="371"/>
      <c r="H15" s="371"/>
      <c r="I15" s="371">
        <v>55</v>
      </c>
      <c r="J15" s="371">
        <v>65</v>
      </c>
      <c r="K15" s="371">
        <v>60.5</v>
      </c>
      <c r="L15" s="371">
        <v>60</v>
      </c>
      <c r="M15" s="371">
        <v>82.5</v>
      </c>
      <c r="N15" s="371"/>
      <c r="O15" s="371"/>
      <c r="P15" s="371">
        <v>40</v>
      </c>
      <c r="Q15" s="348"/>
      <c r="R15" s="371">
        <v>50</v>
      </c>
      <c r="S15" s="371">
        <v>65</v>
      </c>
      <c r="T15" s="371">
        <v>82.5</v>
      </c>
      <c r="U15" s="371">
        <v>65</v>
      </c>
      <c r="V15" s="371">
        <v>32.5</v>
      </c>
      <c r="W15" s="371">
        <v>60</v>
      </c>
      <c r="X15" s="371"/>
      <c r="Y15" s="371"/>
      <c r="Z15" s="371">
        <v>62.5</v>
      </c>
      <c r="AA15" s="358">
        <f t="shared" si="0"/>
        <v>55.852941176470587</v>
      </c>
      <c r="AB15" s="358">
        <f t="shared" si="2"/>
        <v>55.852941176470587</v>
      </c>
      <c r="AC15" s="194">
        <f t="shared" si="1"/>
        <v>9</v>
      </c>
    </row>
    <row r="16" spans="1:29" s="172" customFormat="1" ht="15">
      <c r="A16" s="438" t="s">
        <v>251</v>
      </c>
      <c r="B16" s="382" t="s">
        <v>259</v>
      </c>
      <c r="C16" s="372">
        <v>35</v>
      </c>
      <c r="D16" s="372">
        <v>29</v>
      </c>
      <c r="E16" s="372">
        <v>45</v>
      </c>
      <c r="F16" s="372"/>
      <c r="G16" s="372">
        <v>71</v>
      </c>
      <c r="H16" s="372"/>
      <c r="I16" s="372"/>
      <c r="J16" s="372"/>
      <c r="K16" s="372">
        <v>49</v>
      </c>
      <c r="L16" s="372"/>
      <c r="M16" s="372">
        <v>97.5</v>
      </c>
      <c r="N16" s="372"/>
      <c r="O16" s="372"/>
      <c r="P16" s="372"/>
      <c r="Q16" s="382">
        <v>52.5</v>
      </c>
      <c r="R16" s="372">
        <v>35</v>
      </c>
      <c r="S16" s="372"/>
      <c r="T16" s="372"/>
      <c r="U16" s="372">
        <v>57</v>
      </c>
      <c r="V16" s="372">
        <v>50</v>
      </c>
      <c r="W16" s="372">
        <v>35</v>
      </c>
      <c r="X16" s="372"/>
      <c r="Y16" s="372"/>
      <c r="Z16" s="447" t="s">
        <v>259</v>
      </c>
      <c r="AA16" s="358">
        <f t="shared" si="0"/>
        <v>50.545454545454547</v>
      </c>
      <c r="AB16" s="358">
        <f t="shared" si="2"/>
        <v>50.545454545454547</v>
      </c>
      <c r="AC16" s="246">
        <f t="shared" si="1"/>
        <v>11</v>
      </c>
    </row>
    <row r="17" spans="1:29" s="172" customFormat="1" ht="30">
      <c r="A17" s="438" t="s">
        <v>252</v>
      </c>
      <c r="B17" s="382"/>
      <c r="C17" s="372"/>
      <c r="D17" s="372"/>
      <c r="E17" s="372"/>
      <c r="F17" s="372"/>
      <c r="G17" s="372"/>
      <c r="H17" s="372"/>
      <c r="I17" s="372"/>
      <c r="J17" s="372"/>
      <c r="K17" s="372"/>
      <c r="L17" s="372"/>
      <c r="M17" s="372"/>
      <c r="N17" s="372"/>
      <c r="O17" s="372"/>
      <c r="P17" s="372"/>
      <c r="Q17" s="349"/>
      <c r="R17" s="372"/>
      <c r="S17" s="372"/>
      <c r="T17" s="372"/>
      <c r="U17" s="372"/>
      <c r="V17" s="372"/>
      <c r="W17" s="372"/>
      <c r="X17" s="372"/>
      <c r="Y17" s="372"/>
      <c r="Z17" s="372"/>
      <c r="AA17" s="358"/>
      <c r="AB17" s="358"/>
      <c r="AC17" s="246"/>
    </row>
    <row r="18" spans="1:29">
      <c r="AA18" s="327"/>
      <c r="AB18" s="214"/>
    </row>
    <row r="19" spans="1:29">
      <c r="AA19" s="328"/>
      <c r="AB19" s="339" t="s">
        <v>175</v>
      </c>
    </row>
  </sheetData>
  <phoneticPr fontId="23" type="noConversion"/>
  <printOptions gridLines="1"/>
  <pageMargins left="0.21" right="0.2" top="1" bottom="1" header="0.5" footer="0.5"/>
  <pageSetup scale="49" orientation="landscape" horizontalDpi="4294967294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H70"/>
  <sheetViews>
    <sheetView workbookViewId="0"/>
  </sheetViews>
  <sheetFormatPr defaultColWidth="8.85546875" defaultRowHeight="12.75"/>
  <cols>
    <col min="1" max="1" width="39.42578125" customWidth="1"/>
    <col min="2" max="2" width="9.7109375" customWidth="1"/>
    <col min="3" max="3" width="10" customWidth="1"/>
    <col min="4" max="4" width="11.42578125" customWidth="1"/>
    <col min="5" max="5" width="11.28515625" customWidth="1"/>
    <col min="6" max="6" width="14.28515625" customWidth="1"/>
    <col min="7" max="7" width="12.7109375" customWidth="1"/>
    <col min="8" max="8" width="12.42578125" customWidth="1"/>
    <col min="9" max="9" width="11" customWidth="1"/>
  </cols>
  <sheetData>
    <row r="1" spans="1:8" ht="18.75">
      <c r="A1" s="7" t="s">
        <v>229</v>
      </c>
      <c r="B1" s="8"/>
      <c r="C1" s="6"/>
      <c r="D1" s="9"/>
      <c r="E1" s="69"/>
      <c r="F1" s="38"/>
      <c r="G1" s="6"/>
      <c r="H1" s="6"/>
    </row>
    <row r="2" spans="1:8" s="67" customFormat="1" ht="12.75" customHeight="1">
      <c r="A2" s="38"/>
      <c r="B2" s="38"/>
      <c r="C2" s="38"/>
      <c r="D2" s="199" t="s">
        <v>15</v>
      </c>
      <c r="E2" s="200">
        <f>MIN(D5:D18)</f>
        <v>8.19</v>
      </c>
      <c r="F2" s="38" t="s">
        <v>16</v>
      </c>
      <c r="G2" s="38"/>
      <c r="H2" s="38"/>
    </row>
    <row r="3" spans="1:8">
      <c r="A3" s="219"/>
      <c r="B3" s="11"/>
      <c r="C3" s="12"/>
      <c r="D3" s="201" t="s">
        <v>84</v>
      </c>
      <c r="E3" s="202">
        <v>12</v>
      </c>
      <c r="F3" s="264" t="s">
        <v>16</v>
      </c>
      <c r="G3" s="6"/>
    </row>
    <row r="4" spans="1:8" ht="27" customHeight="1">
      <c r="A4" s="10"/>
      <c r="B4" s="39" t="s">
        <v>32</v>
      </c>
      <c r="C4" s="39" t="s">
        <v>33</v>
      </c>
      <c r="D4" s="39" t="s">
        <v>39</v>
      </c>
      <c r="E4" s="36" t="s">
        <v>9</v>
      </c>
      <c r="F4" s="5" t="s">
        <v>28</v>
      </c>
      <c r="G4" s="280" t="s">
        <v>330</v>
      </c>
      <c r="H4" s="36"/>
    </row>
    <row r="5" spans="1:8" ht="15">
      <c r="A5" s="337" t="s">
        <v>156</v>
      </c>
      <c r="B5" s="413">
        <v>9.6300000000000008</v>
      </c>
      <c r="C5" s="309">
        <v>9.91</v>
      </c>
      <c r="D5" s="173">
        <f t="shared" ref="D5:D14" si="0">MIN(B5:C5)</f>
        <v>9.6300000000000008</v>
      </c>
      <c r="E5" s="267">
        <f>IF(D5&gt;=12,2.5,(-$D$22*D5+$D$23))</f>
        <v>31.102362204724386</v>
      </c>
      <c r="F5" s="5">
        <f>RANK(E5,$E$5:$E$18)</f>
        <v>8</v>
      </c>
      <c r="G5" s="18">
        <v>47</v>
      </c>
      <c r="H5" s="66"/>
    </row>
    <row r="6" spans="1:8" ht="15">
      <c r="A6" s="337" t="s">
        <v>195</v>
      </c>
      <c r="B6" s="413">
        <v>9.1300000000000008</v>
      </c>
      <c r="C6" s="413">
        <v>9.09</v>
      </c>
      <c r="D6" s="173">
        <f t="shared" si="0"/>
        <v>9.09</v>
      </c>
      <c r="E6" s="267">
        <f t="shared" ref="E6:E14" si="1">IF(D6&gt;=12,2.5,(-$D$22*D6+$D$23))</f>
        <v>38.188976377952741</v>
      </c>
      <c r="F6" s="5">
        <f t="shared" ref="F6:F14" si="2">RANK(E6,$E$5:$E$18)</f>
        <v>5</v>
      </c>
      <c r="G6" s="18">
        <v>38</v>
      </c>
      <c r="H6" s="66"/>
    </row>
    <row r="7" spans="1:8" ht="15">
      <c r="A7" s="337" t="s">
        <v>196</v>
      </c>
      <c r="B7" s="413">
        <v>8.3699999999999992</v>
      </c>
      <c r="C7" s="414">
        <v>8.19</v>
      </c>
      <c r="D7" s="173">
        <f t="shared" si="0"/>
        <v>8.19</v>
      </c>
      <c r="E7" s="267">
        <f t="shared" si="1"/>
        <v>50</v>
      </c>
      <c r="F7" s="5">
        <f t="shared" si="2"/>
        <v>1</v>
      </c>
      <c r="G7" s="18">
        <v>52</v>
      </c>
      <c r="H7" s="66"/>
    </row>
    <row r="8" spans="1:8" s="214" customFormat="1" ht="15">
      <c r="A8" s="343" t="s">
        <v>206</v>
      </c>
      <c r="B8" s="413"/>
      <c r="C8" s="413"/>
      <c r="D8" s="173"/>
      <c r="E8" s="267"/>
      <c r="F8" s="5"/>
      <c r="G8" s="249"/>
      <c r="H8" s="252"/>
    </row>
    <row r="9" spans="1:8" ht="15">
      <c r="A9" s="337" t="s">
        <v>204</v>
      </c>
      <c r="B9" s="413">
        <v>8.68</v>
      </c>
      <c r="C9" s="413">
        <v>9.91</v>
      </c>
      <c r="D9" s="173">
        <f t="shared" si="0"/>
        <v>8.68</v>
      </c>
      <c r="E9" s="267">
        <f t="shared" si="1"/>
        <v>43.569553805774277</v>
      </c>
      <c r="F9" s="5">
        <f t="shared" si="2"/>
        <v>3</v>
      </c>
      <c r="G9" s="18">
        <v>50</v>
      </c>
      <c r="H9" s="66"/>
    </row>
    <row r="10" spans="1:8" ht="15">
      <c r="A10" s="344" t="s">
        <v>199</v>
      </c>
      <c r="B10" s="413">
        <v>9.65</v>
      </c>
      <c r="C10" s="413">
        <v>9.41</v>
      </c>
      <c r="D10" s="173">
        <f t="shared" si="0"/>
        <v>9.41</v>
      </c>
      <c r="E10" s="267">
        <f t="shared" si="1"/>
        <v>33.989501312335946</v>
      </c>
      <c r="F10" s="5">
        <f t="shared" si="2"/>
        <v>7</v>
      </c>
      <c r="G10" s="18">
        <v>49</v>
      </c>
      <c r="H10" s="66"/>
    </row>
    <row r="11" spans="1:8" ht="15">
      <c r="A11" s="343" t="s">
        <v>200</v>
      </c>
      <c r="B11" s="413">
        <v>8.6199999999999992</v>
      </c>
      <c r="C11" s="413">
        <v>8.35</v>
      </c>
      <c r="D11" s="173">
        <f t="shared" si="0"/>
        <v>8.35</v>
      </c>
      <c r="E11" s="267">
        <f t="shared" si="1"/>
        <v>47.900262467191595</v>
      </c>
      <c r="F11" s="5">
        <f t="shared" si="2"/>
        <v>2</v>
      </c>
      <c r="G11" s="18">
        <v>60</v>
      </c>
      <c r="H11" s="66"/>
    </row>
    <row r="12" spans="1:8" ht="15">
      <c r="A12" s="344" t="s">
        <v>212</v>
      </c>
      <c r="B12" s="413">
        <v>9.2899999999999991</v>
      </c>
      <c r="C12" s="413">
        <v>9.2200000000000006</v>
      </c>
      <c r="D12" s="173">
        <f t="shared" si="0"/>
        <v>9.2200000000000006</v>
      </c>
      <c r="E12" s="267">
        <f t="shared" si="1"/>
        <v>36.482939632545907</v>
      </c>
      <c r="F12" s="5">
        <f t="shared" si="2"/>
        <v>6</v>
      </c>
      <c r="G12" s="18">
        <v>45</v>
      </c>
      <c r="H12" s="66"/>
    </row>
    <row r="13" spans="1:8" ht="15">
      <c r="A13" s="344" t="s">
        <v>214</v>
      </c>
      <c r="B13" s="413">
        <v>9.66</v>
      </c>
      <c r="C13" s="413">
        <v>8.8699999999999992</v>
      </c>
      <c r="D13" s="173">
        <f t="shared" si="0"/>
        <v>8.8699999999999992</v>
      </c>
      <c r="E13" s="267">
        <f t="shared" si="1"/>
        <v>41.076115485564301</v>
      </c>
      <c r="F13" s="5">
        <f t="shared" si="2"/>
        <v>4</v>
      </c>
      <c r="G13" s="18">
        <v>41</v>
      </c>
      <c r="H13" s="66"/>
    </row>
    <row r="14" spans="1:8" s="143" customFormat="1" ht="15">
      <c r="A14" s="344" t="s">
        <v>215</v>
      </c>
      <c r="B14" s="413">
        <v>11.35</v>
      </c>
      <c r="C14" s="413">
        <v>11.59</v>
      </c>
      <c r="D14" s="173">
        <f t="shared" si="0"/>
        <v>11.35</v>
      </c>
      <c r="E14" s="267">
        <f t="shared" si="1"/>
        <v>8.5301837270341139</v>
      </c>
      <c r="F14" s="5">
        <f t="shared" si="2"/>
        <v>9</v>
      </c>
      <c r="G14" s="280">
        <v>37</v>
      </c>
      <c r="H14" s="147"/>
    </row>
    <row r="15" spans="1:8" s="143" customFormat="1" ht="15">
      <c r="A15" s="438" t="s">
        <v>323</v>
      </c>
      <c r="B15" s="413"/>
      <c r="C15" s="413"/>
      <c r="D15" s="173"/>
      <c r="E15" s="267"/>
      <c r="F15" s="5"/>
      <c r="G15" s="144"/>
      <c r="H15" s="147"/>
    </row>
    <row r="16" spans="1:8" s="143" customFormat="1" ht="15">
      <c r="A16" s="344" t="s">
        <v>217</v>
      </c>
      <c r="B16" s="413"/>
      <c r="C16" s="413"/>
      <c r="D16" s="173"/>
      <c r="E16" s="267"/>
      <c r="F16" s="5"/>
      <c r="G16" s="144"/>
      <c r="H16" s="147"/>
    </row>
    <row r="17" spans="1:8" ht="15">
      <c r="A17" s="438" t="s">
        <v>251</v>
      </c>
      <c r="B17" s="413"/>
      <c r="C17" s="413"/>
      <c r="D17" s="173"/>
      <c r="E17" s="267"/>
      <c r="F17" s="5"/>
      <c r="G17" s="5"/>
      <c r="H17" s="2"/>
    </row>
    <row r="18" spans="1:8" ht="15">
      <c r="A18" s="438" t="s">
        <v>252</v>
      </c>
      <c r="B18" s="431"/>
      <c r="C18" s="309"/>
      <c r="D18" s="173"/>
      <c r="E18" s="267"/>
      <c r="F18" s="5"/>
      <c r="G18" s="18"/>
      <c r="H18" s="3"/>
    </row>
    <row r="19" spans="1:8">
      <c r="A19" s="24"/>
      <c r="B19" s="57"/>
      <c r="C19" s="57"/>
      <c r="D19" s="57"/>
      <c r="E19" s="18"/>
      <c r="F19" s="18"/>
      <c r="G19" s="18"/>
      <c r="H19" s="3"/>
    </row>
    <row r="20" spans="1:8">
      <c r="A20" s="24"/>
      <c r="B20" s="57"/>
      <c r="C20" s="138"/>
      <c r="D20" s="57"/>
      <c r="E20" s="18"/>
      <c r="F20" s="18"/>
      <c r="G20" s="18"/>
      <c r="H20" s="3"/>
    </row>
    <row r="21" spans="1:8">
      <c r="A21" s="24"/>
      <c r="B21" s="57"/>
      <c r="C21" s="278" t="s">
        <v>150</v>
      </c>
      <c r="D21" s="57"/>
      <c r="E21" s="18"/>
      <c r="F21" s="18"/>
      <c r="G21" s="18"/>
      <c r="H21" s="3"/>
    </row>
    <row r="22" spans="1:8">
      <c r="A22" s="24"/>
      <c r="B22" s="57"/>
      <c r="C22" s="331" t="s">
        <v>147</v>
      </c>
      <c r="D22" s="329">
        <f>50/(E3-E2)</f>
        <v>13.123359580052492</v>
      </c>
      <c r="E22" s="18"/>
      <c r="F22" s="18"/>
      <c r="G22" s="18"/>
      <c r="H22" s="3"/>
    </row>
    <row r="23" spans="1:8">
      <c r="A23" s="24"/>
      <c r="B23" s="57"/>
      <c r="C23" s="331" t="s">
        <v>148</v>
      </c>
      <c r="D23" s="330">
        <f>D22*E3</f>
        <v>157.4803149606299</v>
      </c>
      <c r="E23" s="18"/>
      <c r="F23" s="18"/>
      <c r="G23" s="18"/>
      <c r="H23" s="3"/>
    </row>
    <row r="24" spans="1:8">
      <c r="A24" s="24"/>
      <c r="B24" s="57"/>
      <c r="C24" s="57"/>
      <c r="D24" s="57"/>
      <c r="E24" s="18"/>
      <c r="F24" s="18"/>
      <c r="G24" s="18"/>
      <c r="H24" s="3"/>
    </row>
    <row r="25" spans="1:8">
      <c r="A25" s="24"/>
      <c r="B25" s="57"/>
      <c r="C25" s="57"/>
      <c r="D25" s="57"/>
      <c r="E25" s="18"/>
      <c r="F25" s="18"/>
      <c r="G25" s="18"/>
      <c r="H25" s="3"/>
    </row>
    <row r="26" spans="1:8">
      <c r="A26" s="24"/>
      <c r="B26" s="57"/>
      <c r="C26" s="57"/>
      <c r="D26" s="57"/>
      <c r="E26" s="18"/>
      <c r="F26" s="18"/>
      <c r="G26" s="18"/>
      <c r="H26" s="3"/>
    </row>
    <row r="27" spans="1:8">
      <c r="A27" s="24"/>
      <c r="B27" s="57"/>
      <c r="C27" s="57"/>
      <c r="D27" s="57"/>
      <c r="E27" s="18"/>
      <c r="F27" s="18"/>
      <c r="G27" s="18"/>
      <c r="H27" s="3"/>
    </row>
    <row r="28" spans="1:8">
      <c r="A28" s="24"/>
      <c r="B28" s="57"/>
      <c r="C28" s="57"/>
      <c r="D28" s="57"/>
      <c r="E28" s="18"/>
      <c r="F28" s="18"/>
      <c r="G28" s="18"/>
      <c r="H28" s="3"/>
    </row>
    <row r="29" spans="1:8">
      <c r="A29" s="24"/>
      <c r="B29" s="57"/>
      <c r="C29" s="57"/>
      <c r="D29" s="57"/>
      <c r="E29" s="18"/>
      <c r="F29" s="18"/>
      <c r="G29" s="18"/>
      <c r="H29" s="6"/>
    </row>
    <row r="30" spans="1:8">
      <c r="A30" s="24"/>
      <c r="B30" s="57"/>
      <c r="C30" s="57"/>
      <c r="D30" s="57"/>
      <c r="E30" s="18"/>
      <c r="F30" s="18"/>
      <c r="G30" s="18"/>
      <c r="H30" s="6"/>
    </row>
    <row r="31" spans="1:8">
      <c r="A31" s="12"/>
      <c r="B31" s="57"/>
      <c r="C31" s="57"/>
      <c r="D31" s="57"/>
      <c r="E31" s="18"/>
      <c r="F31" s="18"/>
      <c r="G31" s="18"/>
      <c r="H31" s="6"/>
    </row>
    <row r="32" spans="1:8">
      <c r="A32" s="12"/>
      <c r="B32" s="57"/>
      <c r="C32" s="57"/>
      <c r="D32" s="57"/>
      <c r="E32" s="18"/>
      <c r="F32" s="18"/>
      <c r="G32" s="18"/>
      <c r="H32" s="6"/>
    </row>
    <row r="33" spans="1:8">
      <c r="A33" s="12"/>
      <c r="B33" s="57"/>
      <c r="C33" s="57"/>
      <c r="D33" s="57"/>
      <c r="E33" s="18"/>
      <c r="F33" s="18"/>
      <c r="G33" s="18"/>
      <c r="H33" s="6"/>
    </row>
    <row r="34" spans="1:8">
      <c r="A34" s="51"/>
      <c r="B34" s="12"/>
      <c r="C34" s="12"/>
      <c r="D34" s="12"/>
      <c r="E34" s="6"/>
      <c r="F34" s="6"/>
      <c r="G34" s="6"/>
      <c r="H34" s="6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  <row r="70" spans="2:4">
      <c r="B70" s="4"/>
      <c r="C70" s="4"/>
      <c r="D70" s="4"/>
    </row>
  </sheetData>
  <phoneticPr fontId="23" type="noConversion"/>
  <printOptions gridLines="1"/>
  <pageMargins left="0.75" right="0.75" top="0.5" bottom="0.5" header="0.5" footer="0.5"/>
  <pageSetup orientation="landscape" horizontalDpi="4294967294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jmeldrum</cp:lastModifiedBy>
  <cp:lastPrinted>2012-03-11T15:23:34Z</cp:lastPrinted>
  <dcterms:created xsi:type="dcterms:W3CDTF">2000-03-12T02:15:03Z</dcterms:created>
  <dcterms:modified xsi:type="dcterms:W3CDTF">2013-03-10T17:19:59Z</dcterms:modified>
</cp:coreProperties>
</file>