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285" windowWidth="15570" windowHeight="7815" tabRatio="778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Objective Handling" sheetId="11" r:id="rId13"/>
    <sheet name="Penalties and Bonuses" sheetId="12" r:id="rId14"/>
    <sheet name="Vehicle Weights" sheetId="15" r:id="rId15"/>
  </sheets>
  <definedNames>
    <definedName name="Bmax">'Lab Emissions'!$N$18</definedName>
    <definedName name="Bmin">'Lab Emissions'!$N$17</definedName>
    <definedName name="Emax">'Lab Emissions'!$J$18</definedName>
    <definedName name="Emin">'Lab Emissions'!$J$17</definedName>
    <definedName name="_xlnm.Print_Area" localSheetId="0">'Totals and Awards'!$A$1:$O$56</definedName>
  </definedNames>
  <calcPr calcId="125725"/>
</workbook>
</file>

<file path=xl/calcChain.xml><?xml version="1.0" encoding="utf-8"?>
<calcChain xmlns="http://schemas.openxmlformats.org/spreadsheetml/2006/main">
  <c r="B54" i="13"/>
  <c r="G5" i="12"/>
  <c r="F2" i="19" l="1"/>
  <c r="L5" i="14"/>
  <c r="L6"/>
  <c r="L8"/>
  <c r="L9"/>
  <c r="L10"/>
  <c r="L11"/>
  <c r="L12"/>
  <c r="L13"/>
  <c r="L4"/>
  <c r="H6" i="19" l="1"/>
  <c r="H11"/>
  <c r="H12"/>
  <c r="H13"/>
  <c r="H14"/>
  <c r="H15"/>
  <c r="H10"/>
  <c r="H7"/>
  <c r="H8"/>
  <c r="C9" i="10"/>
  <c r="C10"/>
  <c r="C11"/>
  <c r="C12"/>
  <c r="C13"/>
  <c r="C14"/>
  <c r="C8"/>
  <c r="R5" i="18"/>
  <c r="H11" i="15"/>
  <c r="E5"/>
  <c r="E6"/>
  <c r="E7"/>
  <c r="E8"/>
  <c r="E9"/>
  <c r="H9" s="1"/>
  <c r="E10"/>
  <c r="H10" s="1"/>
  <c r="E11"/>
  <c r="E12"/>
  <c r="E13"/>
  <c r="H13" s="1"/>
  <c r="E14"/>
  <c r="H14" s="1"/>
  <c r="E15"/>
  <c r="E4"/>
  <c r="V12" i="5"/>
  <c r="V9"/>
  <c r="D70" i="1"/>
  <c r="E70"/>
  <c r="F70"/>
  <c r="G70"/>
  <c r="H70"/>
  <c r="I70"/>
  <c r="J70"/>
  <c r="K70"/>
  <c r="L70"/>
  <c r="M70"/>
  <c r="N70"/>
  <c r="C70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O47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W9" i="5" l="1"/>
  <c r="W12"/>
  <c r="B18" i="6"/>
  <c r="C7" s="1"/>
  <c r="D10" i="11"/>
  <c r="D11"/>
  <c r="D12"/>
  <c r="D13"/>
  <c r="D14"/>
  <c r="D15"/>
  <c r="D16"/>
  <c r="D14" i="7"/>
  <c r="D13"/>
  <c r="D12"/>
  <c r="D10"/>
  <c r="D9"/>
  <c r="G12" i="13"/>
  <c r="G9"/>
  <c r="D14" i="4"/>
  <c r="D15"/>
  <c r="D10"/>
  <c r="D11"/>
  <c r="B26" i="6" l="1"/>
  <c r="C14"/>
  <c r="C10"/>
  <c r="C5"/>
  <c r="C13"/>
  <c r="C11"/>
  <c r="C9"/>
  <c r="M6" i="14"/>
  <c r="M8"/>
  <c r="M9"/>
  <c r="M10"/>
  <c r="M11"/>
  <c r="M12"/>
  <c r="M13"/>
  <c r="M4"/>
  <c r="C12" i="13"/>
  <c r="C9"/>
  <c r="B26" i="3"/>
  <c r="B25"/>
  <c r="V4" i="5"/>
  <c r="W4" s="1"/>
  <c r="H5" i="15"/>
  <c r="H6"/>
  <c r="H7"/>
  <c r="H8"/>
  <c r="B23" i="3" l="1"/>
  <c r="B24" s="1"/>
  <c r="B27" i="6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C26"/>
  <c r="E8" i="3" l="1"/>
  <c r="L8" s="1"/>
  <c r="D5" i="13" s="1"/>
  <c r="C33" i="6"/>
  <c r="C29"/>
  <c r="C38"/>
  <c r="C41"/>
  <c r="C40"/>
  <c r="C37"/>
  <c r="C28"/>
  <c r="C34"/>
  <c r="C39"/>
  <c r="C35"/>
  <c r="C30"/>
  <c r="C32"/>
  <c r="C36"/>
  <c r="C31"/>
  <c r="C27"/>
  <c r="E15" i="3"/>
  <c r="L15" s="1"/>
  <c r="D12" i="13" s="1"/>
  <c r="E12" i="3"/>
  <c r="L12" s="1"/>
  <c r="D9" i="13" s="1"/>
  <c r="E17" i="3"/>
  <c r="L17" s="1"/>
  <c r="D14" i="13" s="1"/>
  <c r="E11" i="3"/>
  <c r="E7"/>
  <c r="L7" s="1"/>
  <c r="D4" i="13" s="1"/>
  <c r="E16" i="3"/>
  <c r="L16" s="1"/>
  <c r="D13" i="13" s="1"/>
  <c r="E10" i="3"/>
  <c r="L10" s="1"/>
  <c r="D7" i="13" s="1"/>
  <c r="E18" i="3"/>
  <c r="L18" s="1"/>
  <c r="D15" i="13" s="1"/>
  <c r="E14" i="3"/>
  <c r="L14" s="1"/>
  <c r="D11" i="13" s="1"/>
  <c r="E9" i="3"/>
  <c r="L9" s="1"/>
  <c r="D6" i="13" s="1"/>
  <c r="E13" i="3"/>
  <c r="L13" s="1"/>
  <c r="D10" i="13" s="1"/>
  <c r="G4"/>
  <c r="E8"/>
  <c r="E9"/>
  <c r="E10"/>
  <c r="E11"/>
  <c r="E12"/>
  <c r="E13"/>
  <c r="J17" i="18"/>
  <c r="K7" i="13"/>
  <c r="L11" i="3" l="1"/>
  <c r="D8" i="13" s="1"/>
  <c r="D6" i="7"/>
  <c r="D7"/>
  <c r="D11"/>
  <c r="D15"/>
  <c r="E17" i="6"/>
  <c r="C4" i="13" l="1"/>
  <c r="C5"/>
  <c r="C6"/>
  <c r="C7"/>
  <c r="L7"/>
  <c r="C8"/>
  <c r="L8"/>
  <c r="C10"/>
  <c r="C11"/>
  <c r="C13"/>
  <c r="L13"/>
  <c r="C14"/>
  <c r="L14"/>
  <c r="C15"/>
  <c r="V5" i="5" l="1"/>
  <c r="V6"/>
  <c r="V7"/>
  <c r="V8"/>
  <c r="V10"/>
  <c r="V11"/>
  <c r="V13"/>
  <c r="V14"/>
  <c r="V15"/>
  <c r="O3" i="1"/>
  <c r="W14" i="5" l="1"/>
  <c r="G14" i="13" s="1"/>
  <c r="W13" i="5"/>
  <c r="G13" i="13" s="1"/>
  <c r="W15" i="5"/>
  <c r="G15" i="13" s="1"/>
  <c r="W11" i="5"/>
  <c r="G11" i="13" s="1"/>
  <c r="W10" i="5"/>
  <c r="G10" i="13" s="1"/>
  <c r="W8" i="5"/>
  <c r="G8" i="13" s="1"/>
  <c r="W7" i="5"/>
  <c r="G7" i="13" s="1"/>
  <c r="W6" i="5"/>
  <c r="G6" i="13" s="1"/>
  <c r="W5" i="5"/>
  <c r="G5" i="13" s="1"/>
  <c r="M15" i="3"/>
  <c r="M8"/>
  <c r="M12"/>
  <c r="M7"/>
  <c r="M9"/>
  <c r="M11"/>
  <c r="M14"/>
  <c r="M17"/>
  <c r="M10"/>
  <c r="M13"/>
  <c r="M16"/>
  <c r="M18"/>
  <c r="O11" i="13"/>
  <c r="J18" i="18"/>
  <c r="H4" i="15"/>
  <c r="N18" i="18"/>
  <c r="N17"/>
  <c r="E3" i="4"/>
  <c r="E2"/>
  <c r="O4" i="13"/>
  <c r="O5"/>
  <c r="O6"/>
  <c r="O7"/>
  <c r="O8"/>
  <c r="O9"/>
  <c r="O10"/>
  <c r="O12"/>
  <c r="O13"/>
  <c r="O14"/>
  <c r="O15"/>
  <c r="L15"/>
  <c r="F1" i="19"/>
  <c r="B20" s="1"/>
  <c r="E18" i="6"/>
  <c r="E19" s="1"/>
  <c r="M5" i="14"/>
  <c r="D5" i="7"/>
  <c r="D6" i="11"/>
  <c r="D7"/>
  <c r="D8"/>
  <c r="C5" i="10"/>
  <c r="L5" i="13" s="1"/>
  <c r="C6" i="10"/>
  <c r="L6" i="13" s="1"/>
  <c r="L9"/>
  <c r="L10"/>
  <c r="L11"/>
  <c r="L12"/>
  <c r="C4" i="10"/>
  <c r="L4" i="13" s="1"/>
  <c r="F1" i="15"/>
  <c r="J5" i="12"/>
  <c r="N5" i="13" s="1"/>
  <c r="J6" i="12"/>
  <c r="N6" i="13" s="1"/>
  <c r="J7" i="12"/>
  <c r="N7" i="13" s="1"/>
  <c r="J8" i="12"/>
  <c r="N8" i="13" s="1"/>
  <c r="J9" i="12"/>
  <c r="N9" i="13" s="1"/>
  <c r="J10" i="12"/>
  <c r="N10" i="13" s="1"/>
  <c r="J11" i="12"/>
  <c r="N11" i="13" s="1"/>
  <c r="J12" i="12"/>
  <c r="N12" i="13" s="1"/>
  <c r="J13" i="12"/>
  <c r="N13" i="13" s="1"/>
  <c r="J14" i="12"/>
  <c r="N14" i="13" s="1"/>
  <c r="J15" i="12"/>
  <c r="N15" i="13" s="1"/>
  <c r="J4" i="12"/>
  <c r="N4" i="13" s="1"/>
  <c r="F2" i="15"/>
  <c r="B21" i="19" l="1"/>
  <c r="C7" s="1"/>
  <c r="C15"/>
  <c r="O14" i="18"/>
  <c r="R14" s="1"/>
  <c r="R13"/>
  <c r="R12"/>
  <c r="R10"/>
  <c r="K21"/>
  <c r="K22" s="1"/>
  <c r="X12" i="5"/>
  <c r="X9"/>
  <c r="E2" i="11"/>
  <c r="R11" i="18"/>
  <c r="J5" i="13"/>
  <c r="E20" i="6"/>
  <c r="F9" s="1"/>
  <c r="G9" s="1"/>
  <c r="E6" i="4"/>
  <c r="N5" i="14"/>
  <c r="N8"/>
  <c r="N10"/>
  <c r="N11"/>
  <c r="N12"/>
  <c r="N6"/>
  <c r="N13"/>
  <c r="N9"/>
  <c r="N4"/>
  <c r="J12" i="13"/>
  <c r="J11"/>
  <c r="J9"/>
  <c r="E2" i="7"/>
  <c r="D20" s="1"/>
  <c r="J2" i="19"/>
  <c r="J1"/>
  <c r="E3" i="11"/>
  <c r="C11" i="19" l="1"/>
  <c r="C13"/>
  <c r="C14"/>
  <c r="D14" s="1"/>
  <c r="C12"/>
  <c r="D12" s="1"/>
  <c r="C6"/>
  <c r="F20"/>
  <c r="C8"/>
  <c r="D8" s="1"/>
  <c r="C10"/>
  <c r="J13" i="13"/>
  <c r="D11" i="19"/>
  <c r="R6" i="18"/>
  <c r="L6"/>
  <c r="F5" i="6"/>
  <c r="G5" s="1"/>
  <c r="J10" i="13"/>
  <c r="J4"/>
  <c r="J14"/>
  <c r="J7"/>
  <c r="E21" i="11"/>
  <c r="D21" i="7"/>
  <c r="G16" i="6"/>
  <c r="F14"/>
  <c r="G14" s="1"/>
  <c r="H13" i="13" s="1"/>
  <c r="D29" s="1"/>
  <c r="F13" i="6"/>
  <c r="G13" s="1"/>
  <c r="G12"/>
  <c r="H11" i="13" s="1"/>
  <c r="D27" s="1"/>
  <c r="F11" i="6"/>
  <c r="G11" s="1"/>
  <c r="F10"/>
  <c r="G10" s="1"/>
  <c r="H9" i="13" s="1"/>
  <c r="D25" s="1"/>
  <c r="H15"/>
  <c r="D31" s="1"/>
  <c r="H12"/>
  <c r="D28" s="1"/>
  <c r="F7" i="6"/>
  <c r="G7" s="1"/>
  <c r="H10" i="13"/>
  <c r="D26" s="1"/>
  <c r="G8" i="6"/>
  <c r="G15"/>
  <c r="E7" i="4"/>
  <c r="K15" i="13"/>
  <c r="K14"/>
  <c r="J6"/>
  <c r="R7" i="18"/>
  <c r="J8" i="13"/>
  <c r="R9" i="18"/>
  <c r="L13"/>
  <c r="L5"/>
  <c r="L9"/>
  <c r="L10"/>
  <c r="L11"/>
  <c r="L14"/>
  <c r="J15" i="13"/>
  <c r="P11" i="18"/>
  <c r="P9"/>
  <c r="P6"/>
  <c r="P13"/>
  <c r="H8" i="13"/>
  <c r="D24" s="1"/>
  <c r="P12" i="18"/>
  <c r="P7"/>
  <c r="P14"/>
  <c r="P10"/>
  <c r="L7"/>
  <c r="L12"/>
  <c r="P5"/>
  <c r="E5" i="13"/>
  <c r="E15"/>
  <c r="E14"/>
  <c r="E7"/>
  <c r="E6"/>
  <c r="E4"/>
  <c r="D7" i="19" l="1"/>
  <c r="D10"/>
  <c r="D13"/>
  <c r="I13"/>
  <c r="I12"/>
  <c r="F21"/>
  <c r="I10" s="1"/>
  <c r="D6"/>
  <c r="D15"/>
  <c r="G6" i="6"/>
  <c r="H10" s="1"/>
  <c r="E22" i="11"/>
  <c r="E8" s="1"/>
  <c r="E10" i="7"/>
  <c r="E13"/>
  <c r="E9"/>
  <c r="E14"/>
  <c r="E15"/>
  <c r="E11"/>
  <c r="E7"/>
  <c r="E12"/>
  <c r="E6"/>
  <c r="E5"/>
  <c r="I4" i="13" s="1"/>
  <c r="H14"/>
  <c r="D30" s="1"/>
  <c r="H6"/>
  <c r="D22" s="1"/>
  <c r="H4"/>
  <c r="D20" s="1"/>
  <c r="H7"/>
  <c r="D23" s="1"/>
  <c r="F15"/>
  <c r="F11"/>
  <c r="F7"/>
  <c r="F14"/>
  <c r="F10"/>
  <c r="E11" i="4"/>
  <c r="F5" i="13" s="1"/>
  <c r="F13"/>
  <c r="E15" i="4"/>
  <c r="F9" i="13" s="1"/>
  <c r="E10" i="4"/>
  <c r="F4" i="13" s="1"/>
  <c r="F12"/>
  <c r="E14" i="4"/>
  <c r="F8" i="13" s="1"/>
  <c r="F6"/>
  <c r="H5" i="6"/>
  <c r="I7" i="13"/>
  <c r="I9"/>
  <c r="X7" i="5"/>
  <c r="X4"/>
  <c r="X10"/>
  <c r="X15"/>
  <c r="X6"/>
  <c r="X13"/>
  <c r="X5"/>
  <c r="X11"/>
  <c r="X8"/>
  <c r="X14"/>
  <c r="K8" i="13" l="1"/>
  <c r="K10" i="19"/>
  <c r="K12"/>
  <c r="K13"/>
  <c r="I7"/>
  <c r="I15"/>
  <c r="K10" i="13"/>
  <c r="I8" i="19"/>
  <c r="I14"/>
  <c r="I11"/>
  <c r="K11" i="13"/>
  <c r="I6" i="19"/>
  <c r="I6" i="13"/>
  <c r="F7" i="7"/>
  <c r="I14" i="13"/>
  <c r="F15" i="7"/>
  <c r="I8" i="13"/>
  <c r="F9" i="7"/>
  <c r="F6"/>
  <c r="F10"/>
  <c r="I11" i="13"/>
  <c r="B27" s="1"/>
  <c r="F12" i="7"/>
  <c r="I10" i="13"/>
  <c r="F11" i="7"/>
  <c r="I13" i="13"/>
  <c r="F14" i="7"/>
  <c r="I15" i="13"/>
  <c r="I12"/>
  <c r="F13" i="7"/>
  <c r="H16" i="6"/>
  <c r="H11"/>
  <c r="H8"/>
  <c r="H12"/>
  <c r="H6"/>
  <c r="H9"/>
  <c r="H13"/>
  <c r="H7"/>
  <c r="H15"/>
  <c r="H14"/>
  <c r="H5" i="13"/>
  <c r="D21" s="1"/>
  <c r="D33" s="1"/>
  <c r="C27"/>
  <c r="E15" i="11"/>
  <c r="M13" i="13" s="1"/>
  <c r="E29" s="1"/>
  <c r="E11" i="11"/>
  <c r="E7"/>
  <c r="E14"/>
  <c r="M12" i="13" s="1"/>
  <c r="E10" i="11"/>
  <c r="E13"/>
  <c r="E16"/>
  <c r="E12"/>
  <c r="M6" i="13"/>
  <c r="E22" s="1"/>
  <c r="E6" i="11"/>
  <c r="I5" i="13"/>
  <c r="C21" s="1"/>
  <c r="F5" i="7"/>
  <c r="F14" i="4"/>
  <c r="F10"/>
  <c r="F15"/>
  <c r="F11"/>
  <c r="K4" i="13" l="1"/>
  <c r="K6" i="19"/>
  <c r="J6"/>
  <c r="J13"/>
  <c r="J14"/>
  <c r="K12" i="13"/>
  <c r="K14" i="19"/>
  <c r="J7"/>
  <c r="K5" i="13"/>
  <c r="K7" i="19"/>
  <c r="J12"/>
  <c r="J8"/>
  <c r="K8"/>
  <c r="K6" i="13"/>
  <c r="J11" i="19"/>
  <c r="K9" i="13"/>
  <c r="K11" i="19"/>
  <c r="J15"/>
  <c r="K13" i="13"/>
  <c r="K15" i="19"/>
  <c r="J10"/>
  <c r="F29" i="13"/>
  <c r="F22"/>
  <c r="F28"/>
  <c r="B28"/>
  <c r="E28"/>
  <c r="F12" i="11"/>
  <c r="M9" i="13"/>
  <c r="F11" i="11"/>
  <c r="M11" i="13"/>
  <c r="E27" s="1"/>
  <c r="F13" i="11"/>
  <c r="M8" i="13"/>
  <c r="F24" s="1"/>
  <c r="F10" i="11"/>
  <c r="B29" i="13"/>
  <c r="B22"/>
  <c r="M14"/>
  <c r="E30" s="1"/>
  <c r="F16" i="11"/>
  <c r="M10" i="13"/>
  <c r="E26" s="1"/>
  <c r="M7"/>
  <c r="M4"/>
  <c r="F6" i="11"/>
  <c r="F14"/>
  <c r="F15"/>
  <c r="M5" i="13"/>
  <c r="E21" s="1"/>
  <c r="F7" i="11"/>
  <c r="F8"/>
  <c r="M15" i="13"/>
  <c r="E31" s="1"/>
  <c r="B21"/>
  <c r="F27" l="1"/>
  <c r="E23"/>
  <c r="F23"/>
  <c r="B24"/>
  <c r="E24"/>
  <c r="B25"/>
  <c r="E25"/>
  <c r="F25"/>
  <c r="F31"/>
  <c r="F21"/>
  <c r="F30"/>
  <c r="F26"/>
  <c r="E20"/>
  <c r="B20"/>
  <c r="F20"/>
  <c r="B23"/>
  <c r="B26"/>
  <c r="B30"/>
  <c r="B31"/>
  <c r="F33" l="1"/>
  <c r="E33"/>
  <c r="B33"/>
  <c r="I67" i="1"/>
  <c r="I68" s="1"/>
  <c r="B10" i="13" s="1"/>
  <c r="E67" i="1"/>
  <c r="E68" s="1"/>
  <c r="B6" i="13" s="1"/>
  <c r="F67" i="1"/>
  <c r="F68" s="1"/>
  <c r="B7" i="13" s="1"/>
  <c r="C67" i="1"/>
  <c r="C68" s="1"/>
  <c r="B4" i="13" s="1"/>
  <c r="G67" i="1"/>
  <c r="G68" s="1"/>
  <c r="B8" i="13" s="1"/>
  <c r="L67" i="1"/>
  <c r="L68" s="1"/>
  <c r="B13" i="13" s="1"/>
  <c r="N67" i="1"/>
  <c r="N68" s="1"/>
  <c r="B15" i="13" s="1"/>
  <c r="K67" i="1"/>
  <c r="K68" s="1"/>
  <c r="B12" i="13" s="1"/>
  <c r="J67" i="1"/>
  <c r="J68" s="1"/>
  <c r="B11" i="13" s="1"/>
  <c r="G27" s="1"/>
  <c r="D67" i="1"/>
  <c r="D68" s="1"/>
  <c r="B5" i="13" s="1"/>
  <c r="G21" s="1"/>
  <c r="H67" i="1"/>
  <c r="H68" s="1"/>
  <c r="B9" i="13" s="1"/>
  <c r="M67" i="1"/>
  <c r="M68" s="1"/>
  <c r="B14" i="13" s="1"/>
  <c r="G28" l="1"/>
  <c r="C28"/>
  <c r="G29"/>
  <c r="C29"/>
  <c r="G25"/>
  <c r="C25"/>
  <c r="G30"/>
  <c r="C30"/>
  <c r="C24"/>
  <c r="G24"/>
  <c r="C23"/>
  <c r="G23"/>
  <c r="C26"/>
  <c r="G26"/>
  <c r="C31"/>
  <c r="G31"/>
  <c r="C20"/>
  <c r="G20"/>
  <c r="C22"/>
  <c r="G22"/>
  <c r="C33" l="1"/>
  <c r="H27"/>
  <c r="H25"/>
  <c r="H22"/>
  <c r="H20"/>
  <c r="H31"/>
  <c r="H26"/>
  <c r="H23"/>
  <c r="H24"/>
  <c r="H29"/>
  <c r="H28"/>
  <c r="H21"/>
  <c r="H30"/>
</calcChain>
</file>

<file path=xl/sharedStrings.xml><?xml version="1.0" encoding="utf-8"?>
<sst xmlns="http://schemas.openxmlformats.org/spreadsheetml/2006/main" count="598" uniqueCount="245">
  <si>
    <t xml:space="preserve">Gmax = </t>
  </si>
  <si>
    <t>Gmin =</t>
  </si>
  <si>
    <t>Emissions</t>
  </si>
  <si>
    <t>Handling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</si>
  <si>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</si>
  <si>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</si>
  <si>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</si>
  <si>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</si>
  <si>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</si>
  <si>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</si>
  <si>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</si>
  <si>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</si>
  <si>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</si>
  <si>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</si>
  <si>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</si>
  <si>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</si>
  <si>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</si>
  <si>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</si>
  <si>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Performance</t>
  </si>
  <si>
    <t>Best</t>
  </si>
  <si>
    <t>Points</t>
  </si>
  <si>
    <t>Design</t>
  </si>
  <si>
    <t>Most</t>
  </si>
  <si>
    <t>Practical</t>
  </si>
  <si>
    <t>Value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</si>
  <si>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</si>
  <si>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</si>
  <si>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</si>
  <si>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</si>
  <si>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</si>
  <si>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</si>
  <si>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</si>
  <si>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Run1 Time (s)</t>
  </si>
  <si>
    <t>Run2 Time (s)</t>
  </si>
  <si>
    <t>Run1 Lap Time (s)</t>
  </si>
  <si>
    <t>Run2 Lap Time (s)</t>
  </si>
  <si>
    <t>Minimum Lap Time (s)</t>
  </si>
  <si>
    <t>Tmax =</t>
  </si>
  <si>
    <t>Tmin =</t>
  </si>
  <si>
    <t>Noise</t>
  </si>
  <si>
    <t>Acceleration</t>
  </si>
  <si>
    <t>Best Time (s)</t>
  </si>
  <si>
    <t>Fuel Type</t>
  </si>
  <si>
    <t>Late Oral</t>
  </si>
  <si>
    <t>Fuel</t>
  </si>
  <si>
    <t>Economy</t>
  </si>
  <si>
    <t>Cold</t>
  </si>
  <si>
    <t>Start</t>
  </si>
  <si>
    <t xml:space="preserve"> </t>
  </si>
  <si>
    <t>Objective</t>
  </si>
  <si>
    <t>Display</t>
  </si>
  <si>
    <t>Subjective</t>
  </si>
  <si>
    <t>Ride</t>
  </si>
  <si>
    <t>Comments</t>
  </si>
  <si>
    <t>Actual
Gallons
Consumed</t>
  </si>
  <si>
    <t>J192 Level</t>
  </si>
  <si>
    <t>Score</t>
  </si>
  <si>
    <t>Late Design 
Write-up/Fuel Selection</t>
  </si>
  <si>
    <t>Front Left</t>
  </si>
  <si>
    <t>Front Right</t>
  </si>
  <si>
    <t>Rear</t>
  </si>
  <si>
    <t>PASS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</si>
  <si>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</si>
  <si>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</si>
  <si>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</si>
  <si>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</si>
  <si>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</si>
  <si>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</si>
  <si>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</si>
  <si>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</si>
  <si>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</si>
  <si>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</si>
  <si>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</si>
  <si>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Best Ride Winner (Denso)</t>
  </si>
  <si>
    <t>Best Design Winner (SAE)</t>
  </si>
  <si>
    <t>Best Fuel Economy Winner (Gage)</t>
  </si>
  <si>
    <t>Most Practical Winner (BRC)</t>
  </si>
  <si>
    <t>Best Value Winner (EMITEC)</t>
  </si>
  <si>
    <t>Best Handling (Polaris)</t>
  </si>
  <si>
    <t>Average</t>
  </si>
  <si>
    <t>Maximum</t>
  </si>
  <si>
    <t>Minimum</t>
  </si>
  <si>
    <t>Best Acceleration (Woody's)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</si>
  <si>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</si>
  <si>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</si>
  <si>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</si>
  <si>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</si>
  <si>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</si>
  <si>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</si>
  <si>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</si>
  <si>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</si>
  <si>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Notes: Penalties included in times</t>
  </si>
  <si>
    <t>Inspection
 Penalty</t>
  </si>
  <si>
    <t>Ranking</t>
  </si>
  <si>
    <t>CSC Points</t>
  </si>
  <si>
    <t>Best Emissions Winner (AVL)</t>
  </si>
  <si>
    <t>Lowest "In Service" Emissions (Sensors)</t>
  </si>
  <si>
    <t>FINAL EMISSIONS (grams/mile)</t>
  </si>
  <si>
    <t>No points for</t>
  </si>
  <si>
    <t>Weight</t>
  </si>
  <si>
    <t>Fuel consumed</t>
  </si>
  <si>
    <t>BSFC +</t>
  </si>
  <si>
    <t>Fuel Economy +</t>
  </si>
  <si>
    <t>LAB EMISSION RESULTS</t>
  </si>
  <si>
    <t>BSFC RESULTS</t>
  </si>
  <si>
    <t>Must PASS Lab Emission Test</t>
  </si>
  <si>
    <t>Must Complete 5 Modes</t>
  </si>
  <si>
    <t>TEAM</t>
  </si>
  <si>
    <t>Maximum
Horsepower
&lt; 130</t>
  </si>
  <si>
    <t>Completed 5 Modes</t>
  </si>
  <si>
    <t>CO
&lt; 275</t>
  </si>
  <si>
    <t>HC + NOx
&lt; 90</t>
  </si>
  <si>
    <t>E Score
&gt; 100</t>
  </si>
  <si>
    <t>Lab Emission Test</t>
  </si>
  <si>
    <t>Passing
E Scores</t>
  </si>
  <si>
    <t>Lab Emission Points</t>
  </si>
  <si>
    <t>Lab EmissionRanking</t>
  </si>
  <si>
    <t>Weighted BSFC</t>
  </si>
  <si>
    <t>FAIL</t>
  </si>
  <si>
    <t>Teams exceeding 130 HP during the Power Sweep will not be allowed to continue</t>
  </si>
  <si>
    <t>Must PASS "Lab Emission Test" to score "Lab Emission Points"</t>
  </si>
  <si>
    <t>Must PASS "Completed 5 Modes" to score "BSCF points", but do not have to PASS the "Lab Emission Test"</t>
  </si>
  <si>
    <t>Min Emissions</t>
  </si>
  <si>
    <t>Max Emission</t>
  </si>
  <si>
    <t>Min Fuel Economy</t>
  </si>
  <si>
    <t>Max Fuel Economy</t>
  </si>
  <si>
    <t>BSFC Points</t>
  </si>
  <si>
    <t>Most Improved (Aristo)</t>
  </si>
  <si>
    <t>Safety Award (Talon)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</si>
  <si>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</si>
  <si>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</si>
  <si>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</si>
  <si>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</si>
  <si>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</si>
  <si>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</si>
  <si>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</si>
  <si>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</si>
  <si>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First Place Winner Overall (ISMA)$1,000</t>
  </si>
  <si>
    <t>Second Place Winner Overall (YNP)$750</t>
  </si>
  <si>
    <t>Third Place Winner Overall (ACSA)$500</t>
  </si>
  <si>
    <t>Best Engine Design (Mahle)$500</t>
  </si>
  <si>
    <t>Most Sportsmanlike Winner  (AVL)$1000</t>
  </si>
  <si>
    <t>Innovation (Caterpillar)$500</t>
  </si>
  <si>
    <t>Soot
&lt; 0.1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</si>
  <si>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</si>
  <si>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</si>
  <si>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</si>
  <si>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</si>
  <si>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</si>
  <si>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</si>
  <si>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</si>
  <si>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</si>
  <si>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</si>
  <si>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</si>
  <si>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</si>
  <si>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SAE CSC 2012 IC Engine Noise Testing</t>
  </si>
  <si>
    <t>y=mx+b</t>
  </si>
  <si>
    <t>Linear POINTS</t>
  </si>
  <si>
    <t xml:space="preserve">#1
Clarkson
University </t>
  </si>
  <si>
    <t xml:space="preserve">#2
Univ of
Wisconsin
Madison </t>
  </si>
  <si>
    <t xml:space="preserve">#3
Univ of
Idaho </t>
  </si>
  <si>
    <t>#4
SUNY - Buffalo</t>
  </si>
  <si>
    <t xml:space="preserve">#5
Univ of
Wisconsin
Platteville </t>
  </si>
  <si>
    <t xml:space="preserve">#6
Michigan
 Tech Univ </t>
  </si>
  <si>
    <t>#7
Ecole De Technologie Superieure</t>
  </si>
  <si>
    <t xml:space="preserve">#8
Univ of
Alaska
Fairbanks </t>
  </si>
  <si>
    <t xml:space="preserve">#9
Kettering
Univ </t>
  </si>
  <si>
    <t xml:space="preserve">#11
North Dakota
State Univ </t>
  </si>
  <si>
    <t xml:space="preserve">#12
Univ of
Waterloo </t>
  </si>
  <si>
    <t xml:space="preserve">#13
Northern
Illinois Univ </t>
  </si>
  <si>
    <t>Design Paper
Judge Name</t>
  </si>
  <si>
    <t>Mimimum score is 5 points regardless of averaage</t>
  </si>
  <si>
    <t>Otherwise the average is the score.</t>
  </si>
  <si>
    <t xml:space="preserve">#1 Clarkson University </t>
  </si>
  <si>
    <t xml:space="preserve">#2 Univ of Wisconsin Madison </t>
  </si>
  <si>
    <t xml:space="preserve">#3 Univ of Idaho </t>
  </si>
  <si>
    <t>#4 SUNY - Buffalo</t>
  </si>
  <si>
    <t xml:space="preserve">#5 Univ of Wisconsin Platteville </t>
  </si>
  <si>
    <t xml:space="preserve">#6 Michigan Tech Univ </t>
  </si>
  <si>
    <t>#7 Ecole De Technologie Superieure</t>
  </si>
  <si>
    <t xml:space="preserve">#8 Univ of Alaska Fairbanks </t>
  </si>
  <si>
    <t xml:space="preserve">#9 Kettering Univ </t>
  </si>
  <si>
    <t xml:space="preserve">#11 North Dakota State Univ </t>
  </si>
  <si>
    <t xml:space="preserve">#12 Univ of Waterloo </t>
  </si>
  <si>
    <t xml:space="preserve">#13 Northern Illinois Univ </t>
  </si>
  <si>
    <t>Best Performance Winner (L&amp;S) Camoplat Trac</t>
  </si>
  <si>
    <t>Quietest Snowmobile Winner (PCB) Camoplact Trac</t>
  </si>
  <si>
    <t>HBPSI Trail Trac Award $500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</si>
  <si>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</si>
  <si>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</si>
  <si>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</si>
  <si>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</si>
  <si>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compete.</t>
  </si>
  <si>
    <t>Minimum score is 2.5 if they turn in an MSRP.</t>
  </si>
  <si>
    <t>Minimum score is 50 points if they show up and stay until allowed to leave.</t>
  </si>
  <si>
    <t>Notes</t>
  </si>
  <si>
    <t>Control Sled J192 Noise Level dBA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</si>
  <si>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</si>
  <si>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</si>
  <si>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</si>
  <si>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</si>
  <si>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</si>
  <si>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</si>
  <si>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</si>
  <si>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</si>
  <si>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SAE CSC 2012 Design Paper</t>
  </si>
  <si>
    <t>SAE CSC 2012 Final Score Internal Combustion Class</t>
  </si>
  <si>
    <t>SAE CSC 2012 Static Display Results</t>
  </si>
  <si>
    <t>SAE CSC 2012 MSRP Results</t>
  </si>
  <si>
    <t>SAE CSC 2012 Fuel Economy/Endurance Results</t>
  </si>
  <si>
    <t>SAE CSC 2012 Oral Presentation Results</t>
  </si>
  <si>
    <t>SAE CSC 2012 Acceleration Results</t>
  </si>
  <si>
    <t>SAE CSC 2012 Lab Emission Testing Results</t>
  </si>
  <si>
    <t>SAE CSC 2012 In Service Emission Testing Results</t>
  </si>
  <si>
    <t>SAE CSC 2011 Cold Start Results</t>
  </si>
  <si>
    <t>SAE CSC 2012 Objective Handling/Driveability Event Results</t>
  </si>
  <si>
    <t>SAE CSC 2012 Penalties</t>
  </si>
  <si>
    <t>SAE CSC 2012 IC Vehicle Weights</t>
  </si>
  <si>
    <t>Minimum team J192 Sound Pressure Level =</t>
  </si>
  <si>
    <t>Sound Pressure</t>
  </si>
  <si>
    <t>Control Sled J192 Sound Pressure Level</t>
  </si>
  <si>
    <t>Sample result: -3dB in sound pressure = ~half the max score</t>
  </si>
  <si>
    <t>Lowest SPL gets 150 points</t>
  </si>
  <si>
    <t>SPL equal to or greater than control sled gets 7.5 points</t>
  </si>
  <si>
    <t>Note this page will be calculated by AVL in their computer.  Just copy and past results.</t>
  </si>
  <si>
    <t>SAE CSC 2012 Subjective Ride Results - Event Coordinator Mike Ruamp</t>
  </si>
  <si>
    <t>#11 North Dakota State Univ</t>
  </si>
  <si>
    <t># of papers</t>
  </si>
  <si>
    <t>DNC</t>
  </si>
  <si>
    <t>CO+NO+THC
g/mile</t>
  </si>
  <si>
    <t>m</t>
  </si>
  <si>
    <t>b</t>
  </si>
  <si>
    <t>Round 1: (Over the Box), Round 2: (1 Flag)</t>
  </si>
  <si>
    <t>Round 2: (2 Flags)</t>
  </si>
  <si>
    <t>Round 2: (3 Flags)</t>
  </si>
  <si>
    <t>Round 1: (Over the Box), Round 2: (Over the Box and 1 Flag)</t>
  </si>
  <si>
    <t>Round 1: (1 Flag)</t>
  </si>
  <si>
    <t>E35</t>
  </si>
  <si>
    <t>B7</t>
  </si>
  <si>
    <t xml:space="preserve">Safety Glasses Violation (-10) All Teams Except Clarkson </t>
  </si>
  <si>
    <t>KRC Shop Violation (-100), &amp;  Engine Change (-10)</t>
  </si>
  <si>
    <t>McGill (ZE Category)</t>
  </si>
  <si>
    <t>University of Alaska  (ZE Category)</t>
  </si>
  <si>
    <t>South Dakota School of Mines &amp; Tech (ZE Category)</t>
  </si>
  <si>
    <t>#11 North Dakota State Univ and #3 University of Idaho (Tie)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</si>
</sst>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\$#,##0.00"/>
    <numFmt numFmtId="169" formatCode="0.000000"/>
    <numFmt numFmtId="170" formatCode="0.000000000"/>
    <numFmt numFmtId="171" formatCode="0.0000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trike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sz val="10"/>
      <name val="Arial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7" fillId="2" borderId="0" applyNumberFormat="0" applyBorder="0" applyAlignment="0" applyProtection="0"/>
    <xf numFmtId="44" fontId="38" fillId="0" borderId="0" applyFont="0" applyFill="0" applyBorder="0" applyAlignment="0" applyProtection="0"/>
    <xf numFmtId="0" fontId="4" fillId="0" borderId="0"/>
    <xf numFmtId="0" fontId="5" fillId="0" borderId="0"/>
  </cellStyleXfs>
  <cellXfs count="472">
    <xf numFmtId="0" fontId="0" fillId="0" borderId="0" xfId="0"/>
    <xf numFmtId="0" fontId="0" fillId="0" borderId="0" xfId="0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6" fillId="0" borderId="0" xfId="0" applyFont="1" applyAlignment="1" applyProtection="1">
      <alignment horizontal="center"/>
    </xf>
    <xf numFmtId="0" fontId="0" fillId="0" borderId="0" xfId="0" applyProtection="1"/>
    <xf numFmtId="0" fontId="11" fillId="0" borderId="0" xfId="0" applyFont="1" applyProtection="1"/>
    <xf numFmtId="0" fontId="7" fillId="0" borderId="0" xfId="0" applyFont="1" applyProtection="1"/>
    <xf numFmtId="0" fontId="0" fillId="0" borderId="0" xfId="0" applyAlignment="1" applyProtection="1">
      <alignment horizontal="right"/>
    </xf>
    <xf numFmtId="0" fontId="6" fillId="0" borderId="0" xfId="0" applyFont="1" applyProtection="1"/>
    <xf numFmtId="0" fontId="6" fillId="0" borderId="0" xfId="0" applyFont="1" applyFill="1" applyBorder="1" applyProtection="1"/>
    <xf numFmtId="0" fontId="0" fillId="0" borderId="0" xfId="0" applyFill="1" applyBorder="1" applyProtection="1"/>
    <xf numFmtId="0" fontId="6" fillId="0" borderId="0" xfId="0" applyFont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Protection="1"/>
    <xf numFmtId="1" fontId="6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Fill="1" applyBorder="1"/>
    <xf numFmtId="0" fontId="9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13" fillId="0" borderId="0" xfId="0" applyFont="1"/>
    <xf numFmtId="0" fontId="10" fillId="0" borderId="0" xfId="0" applyFont="1" applyFill="1" applyBorder="1" applyAlignment="1" applyProtection="1">
      <alignment horizontal="right"/>
    </xf>
    <xf numFmtId="1" fontId="6" fillId="0" borderId="0" xfId="0" applyNumberFormat="1" applyFon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44" fontId="12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10" fillId="0" borderId="0" xfId="0" applyNumberFormat="1" applyFont="1" applyAlignment="1" applyProtection="1">
      <alignment horizontal="right"/>
    </xf>
    <xf numFmtId="1" fontId="9" fillId="0" borderId="0" xfId="0" applyNumberFormat="1" applyFont="1" applyAlignment="1" applyProtection="1">
      <alignment horizontal="center"/>
    </xf>
    <xf numFmtId="1" fontId="10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1" fontId="8" fillId="0" borderId="0" xfId="0" applyNumberFormat="1" applyFont="1" applyAlignment="1" applyProtection="1">
      <alignment horizontal="right"/>
    </xf>
    <xf numFmtId="0" fontId="8" fillId="0" borderId="0" xfId="0" applyFont="1" applyProtection="1"/>
    <xf numFmtId="0" fontId="9" fillId="0" borderId="0" xfId="0" applyFont="1" applyFill="1" applyBorder="1" applyAlignment="1" applyProtection="1">
      <alignment horizontal="center" wrapText="1"/>
    </xf>
    <xf numFmtId="164" fontId="10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0" fillId="0" borderId="0" xfId="0" applyFont="1" applyFill="1"/>
    <xf numFmtId="0" fontId="9" fillId="0" borderId="0" xfId="0" applyFont="1" applyFill="1" applyAlignment="1" applyProtection="1">
      <alignment horizontal="center"/>
    </xf>
    <xf numFmtId="0" fontId="11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10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0" fillId="0" borderId="0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/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8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14" fillId="0" borderId="0" xfId="0" applyFont="1" applyProtection="1"/>
    <xf numFmtId="0" fontId="14" fillId="0" borderId="0" xfId="0" applyFont="1"/>
    <xf numFmtId="0" fontId="6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8" fillId="0" borderId="0" xfId="0" applyFont="1"/>
    <xf numFmtId="0" fontId="8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6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0" fillId="0" borderId="0" xfId="0" quotePrefix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wrapText="1"/>
    </xf>
    <xf numFmtId="0" fontId="9" fillId="0" borderId="0" xfId="0" applyFont="1" applyAlignment="1" applyProtection="1">
      <alignment horizontal="left"/>
    </xf>
    <xf numFmtId="1" fontId="9" fillId="0" borderId="0" xfId="0" applyNumberFormat="1" applyFont="1" applyAlignment="1" applyProtection="1">
      <alignment horizontal="right"/>
    </xf>
    <xf numFmtId="1" fontId="8" fillId="0" borderId="0" xfId="0" applyNumberFormat="1" applyFont="1" applyAlignment="1" applyProtection="1">
      <alignment horizontal="center"/>
    </xf>
    <xf numFmtId="165" fontId="8" fillId="0" borderId="0" xfId="0" applyNumberFormat="1" applyFont="1" applyProtection="1"/>
    <xf numFmtId="0" fontId="15" fillId="0" borderId="0" xfId="0" applyFont="1" applyProtection="1"/>
    <xf numFmtId="0" fontId="15" fillId="0" borderId="0" xfId="0" applyFont="1" applyAlignment="1" applyProtection="1"/>
    <xf numFmtId="0" fontId="15" fillId="0" borderId="0" xfId="0" applyFont="1" applyBorder="1" applyAlignment="1" applyProtection="1"/>
    <xf numFmtId="0" fontId="15" fillId="0" borderId="0" xfId="0" applyFont="1" applyBorder="1" applyProtection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/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/>
    </xf>
    <xf numFmtId="0" fontId="15" fillId="0" borderId="0" xfId="0" applyFont="1" applyAlignment="1"/>
    <xf numFmtId="2" fontId="15" fillId="0" borderId="0" xfId="0" applyNumberFormat="1" applyFont="1" applyFill="1" applyBorder="1" applyAlignment="1" applyProtection="1">
      <alignment horizontal="center"/>
    </xf>
    <xf numFmtId="164" fontId="15" fillId="0" borderId="0" xfId="0" applyNumberFormat="1" applyFont="1" applyFill="1" applyBorder="1" applyAlignment="1" applyProtection="1"/>
    <xf numFmtId="164" fontId="15" fillId="0" borderId="0" xfId="0" applyNumberFormat="1" applyFont="1" applyFill="1" applyAlignment="1" applyProtection="1"/>
    <xf numFmtId="164" fontId="15" fillId="0" borderId="0" xfId="0" applyNumberFormat="1" applyFont="1" applyFill="1" applyProtection="1"/>
    <xf numFmtId="164" fontId="15" fillId="0" borderId="0" xfId="0" applyNumberFormat="1" applyFont="1" applyFill="1"/>
    <xf numFmtId="164" fontId="15" fillId="0" borderId="0" xfId="0" applyNumberFormat="1" applyFont="1" applyFill="1" applyAlignment="1">
      <alignment horizontal="center"/>
    </xf>
    <xf numFmtId="0" fontId="16" fillId="0" borderId="0" xfId="0" applyFont="1" applyBorder="1" applyAlignment="1" applyProtection="1">
      <alignment horizontal="center"/>
    </xf>
    <xf numFmtId="2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Protection="1"/>
    <xf numFmtId="2" fontId="16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/>
    <xf numFmtId="164" fontId="15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 applyProtection="1">
      <alignment horizontal="center"/>
    </xf>
    <xf numFmtId="14" fontId="15" fillId="0" borderId="0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 applyProtection="1">
      <alignment horizontal="center"/>
    </xf>
    <xf numFmtId="0" fontId="17" fillId="0" borderId="0" xfId="0" applyFont="1" applyProtection="1"/>
    <xf numFmtId="0" fontId="10" fillId="0" borderId="0" xfId="0" applyFont="1" applyAlignment="1" applyProtection="1"/>
    <xf numFmtId="0" fontId="9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1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 applyAlignment="1"/>
    <xf numFmtId="2" fontId="10" fillId="0" borderId="0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 applyBorder="1" applyAlignment="1" applyProtection="1"/>
    <xf numFmtId="167" fontId="1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10" fillId="0" borderId="0" xfId="0" applyFont="1" applyFill="1" applyBorder="1" applyAlignment="1" applyProtection="1">
      <alignment horizontal="center" wrapText="1"/>
    </xf>
    <xf numFmtId="165" fontId="9" fillId="0" borderId="0" xfId="0" applyNumberFormat="1" applyFont="1" applyFill="1" applyBorder="1" applyProtection="1"/>
    <xf numFmtId="0" fontId="6" fillId="0" borderId="0" xfId="0" applyFont="1"/>
    <xf numFmtId="2" fontId="6" fillId="0" borderId="0" xfId="0" applyNumberFormat="1" applyFont="1" applyFill="1" applyBorder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19" fillId="0" borderId="0" xfId="0" applyFont="1" applyProtection="1"/>
    <xf numFmtId="0" fontId="18" fillId="0" borderId="0" xfId="0" applyFont="1" applyProtection="1"/>
    <xf numFmtId="0" fontId="21" fillId="0" borderId="0" xfId="0" applyFont="1" applyFill="1" applyBorder="1" applyAlignment="1" applyProtection="1">
      <alignment horizontal="left"/>
    </xf>
    <xf numFmtId="0" fontId="21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 applyProtection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7" fontId="19" fillId="0" borderId="0" xfId="0" applyNumberFormat="1" applyFont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1" fontId="19" fillId="0" borderId="0" xfId="0" applyNumberFormat="1" applyFont="1" applyFill="1" applyAlignment="1" applyProtection="1">
      <alignment horizontal="center"/>
    </xf>
    <xf numFmtId="1" fontId="19" fillId="0" borderId="0" xfId="0" applyNumberFormat="1" applyFont="1" applyAlignment="1" applyProtection="1">
      <alignment horizontal="center"/>
    </xf>
    <xf numFmtId="164" fontId="23" fillId="0" borderId="0" xfId="0" applyNumberFormat="1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167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Alignment="1" applyProtection="1"/>
    <xf numFmtId="0" fontId="19" fillId="0" borderId="0" xfId="0" applyFont="1" applyFill="1"/>
    <xf numFmtId="0" fontId="19" fillId="0" borderId="0" xfId="0" applyFont="1" applyFill="1" applyBorder="1" applyAlignment="1" applyProtection="1">
      <alignment horizontal="right"/>
    </xf>
    <xf numFmtId="1" fontId="23" fillId="0" borderId="0" xfId="0" applyNumberFormat="1" applyFont="1" applyAlignment="1" applyProtection="1">
      <alignment horizontal="right"/>
    </xf>
    <xf numFmtId="164" fontId="18" fillId="0" borderId="0" xfId="0" applyNumberFormat="1" applyFont="1" applyAlignment="1" applyProtection="1">
      <alignment horizontal="center"/>
    </xf>
    <xf numFmtId="1" fontId="7" fillId="0" borderId="0" xfId="0" applyNumberFormat="1" applyFont="1" applyProtection="1"/>
    <xf numFmtId="1" fontId="6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5" fillId="0" borderId="0" xfId="0" applyFont="1" applyAlignment="1" applyProtection="1">
      <alignment horizontal="center" wrapText="1"/>
    </xf>
    <xf numFmtId="0" fontId="19" fillId="0" borderId="0" xfId="0" applyFont="1" applyFill="1" applyBorder="1" applyProtection="1"/>
    <xf numFmtId="2" fontId="8" fillId="0" borderId="0" xfId="0" applyNumberFormat="1" applyFont="1" applyAlignment="1" applyProtection="1">
      <alignment horizontal="center"/>
    </xf>
    <xf numFmtId="1" fontId="10" fillId="0" borderId="0" xfId="0" applyNumberFormat="1" applyFont="1" applyAlignment="1" applyProtection="1">
      <alignment horizontal="left"/>
    </xf>
    <xf numFmtId="0" fontId="24" fillId="0" borderId="0" xfId="0" applyFont="1"/>
    <xf numFmtId="0" fontId="24" fillId="0" borderId="0" xfId="0" applyFont="1" applyProtection="1"/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0" applyFont="1"/>
    <xf numFmtId="2" fontId="8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Protection="1"/>
    <xf numFmtId="1" fontId="6" fillId="0" borderId="0" xfId="0" applyNumberFormat="1" applyFont="1" applyFill="1" applyBorder="1" applyAlignment="1" applyProtection="1">
      <alignment horizontal="center"/>
    </xf>
    <xf numFmtId="164" fontId="6" fillId="0" borderId="0" xfId="0" quotePrefix="1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left"/>
    </xf>
    <xf numFmtId="164" fontId="10" fillId="0" borderId="0" xfId="0" applyNumberFormat="1" applyFont="1" applyFill="1"/>
    <xf numFmtId="2" fontId="6" fillId="0" borderId="0" xfId="0" applyNumberFormat="1" applyFont="1" applyAlignment="1">
      <alignment horizontal="center"/>
    </xf>
    <xf numFmtId="0" fontId="27" fillId="0" borderId="0" xfId="0" applyFont="1" applyAlignment="1">
      <alignment horizontal="justify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2" fontId="15" fillId="0" borderId="0" xfId="0" applyNumberFormat="1" applyFont="1" applyFill="1" applyBorder="1" applyAlignment="1" applyProtection="1">
      <alignment horizontal="left"/>
    </xf>
    <xf numFmtId="0" fontId="8" fillId="0" borderId="0" xfId="0" applyFont="1" applyAlignment="1"/>
    <xf numFmtId="0" fontId="26" fillId="0" borderId="0" xfId="0" applyFont="1" applyAlignment="1">
      <alignment horizontal="center"/>
    </xf>
    <xf numFmtId="1" fontId="20" fillId="0" borderId="0" xfId="0" applyNumberFormat="1" applyFont="1" applyAlignment="1" applyProtection="1">
      <alignment horizontal="center"/>
    </xf>
    <xf numFmtId="164" fontId="18" fillId="0" borderId="2" xfId="0" applyNumberFormat="1" applyFont="1" applyBorder="1" applyAlignment="1">
      <alignment horizontal="center"/>
    </xf>
    <xf numFmtId="1" fontId="18" fillId="0" borderId="0" xfId="0" applyNumberFormat="1" applyFont="1" applyAlignment="1" applyProtection="1">
      <alignment horizontal="center"/>
    </xf>
    <xf numFmtId="166" fontId="18" fillId="0" borderId="0" xfId="0" applyNumberFormat="1" applyFont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18" fillId="0" borderId="0" xfId="0" applyFont="1" applyFill="1"/>
    <xf numFmtId="0" fontId="8" fillId="0" borderId="0" xfId="0" applyFont="1" applyFill="1" applyAlignment="1">
      <alignment horizontal="center"/>
    </xf>
    <xf numFmtId="0" fontId="6" fillId="0" borderId="0" xfId="0" applyFont="1" applyFill="1" applyAlignment="1" applyProtection="1">
      <alignment horizontal="center"/>
    </xf>
    <xf numFmtId="0" fontId="29" fillId="0" borderId="0" xfId="0" applyFont="1"/>
    <xf numFmtId="0" fontId="8" fillId="0" borderId="0" xfId="0" applyFont="1" applyFill="1" applyBorder="1" applyAlignment="1" applyProtection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0" xfId="0" applyFont="1" applyAlignment="1" applyProtection="1">
      <alignment horizontal="left"/>
    </xf>
    <xf numFmtId="2" fontId="8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2" fontId="0" fillId="0" borderId="0" xfId="0" applyNumberFormat="1" applyAlignment="1" applyProtection="1">
      <alignment horizontal="left"/>
    </xf>
    <xf numFmtId="1" fontId="8" fillId="0" borderId="2" xfId="0" applyNumberFormat="1" applyFont="1" applyFill="1" applyBorder="1" applyAlignment="1" applyProtection="1">
      <alignment horizontal="center"/>
    </xf>
    <xf numFmtId="0" fontId="8" fillId="0" borderId="0" xfId="0" applyFont="1" applyFill="1" applyBorder="1"/>
    <xf numFmtId="1" fontId="0" fillId="0" borderId="0" xfId="0" applyNumberFormat="1" applyProtection="1"/>
    <xf numFmtId="1" fontId="0" fillId="0" borderId="0" xfId="0" applyNumberFormat="1"/>
    <xf numFmtId="1" fontId="8" fillId="0" borderId="0" xfId="0" applyNumberFormat="1" applyFont="1" applyProtection="1"/>
    <xf numFmtId="2" fontId="10" fillId="0" borderId="0" xfId="0" applyNumberFormat="1" applyFont="1" applyProtection="1"/>
    <xf numFmtId="0" fontId="9" fillId="0" borderId="0" xfId="0" applyFont="1" applyFill="1" applyAlignment="1" applyProtection="1">
      <alignment horizontal="left"/>
    </xf>
    <xf numFmtId="1" fontId="0" fillId="0" borderId="0" xfId="0" applyNumberFormat="1" applyBorder="1"/>
    <xf numFmtId="0" fontId="8" fillId="0" borderId="0" xfId="0" applyFont="1" applyBorder="1" applyAlignment="1">
      <alignment horizontal="left" wrapText="1"/>
    </xf>
    <xf numFmtId="164" fontId="8" fillId="0" borderId="2" xfId="0" applyNumberFormat="1" applyFont="1" applyBorder="1" applyAlignment="1">
      <alignment horizontal="left"/>
    </xf>
    <xf numFmtId="1" fontId="31" fillId="0" borderId="0" xfId="0" applyNumberFormat="1" applyFont="1" applyAlignment="1" applyProtection="1">
      <alignment horizontal="right"/>
    </xf>
    <xf numFmtId="0" fontId="31" fillId="0" borderId="0" xfId="0" applyFont="1" applyProtection="1"/>
    <xf numFmtId="0" fontId="32" fillId="0" borderId="0" xfId="0" applyFont="1"/>
    <xf numFmtId="0" fontId="31" fillId="0" borderId="0" xfId="0" applyFont="1"/>
    <xf numFmtId="1" fontId="8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4" fontId="32" fillId="0" borderId="0" xfId="0" applyNumberFormat="1" applyFont="1"/>
    <xf numFmtId="0" fontId="32" fillId="0" borderId="0" xfId="0" applyFont="1" applyAlignment="1">
      <alignment horizontal="left"/>
    </xf>
    <xf numFmtId="0" fontId="32" fillId="0" borderId="0" xfId="0" applyFont="1" applyProtection="1"/>
    <xf numFmtId="0" fontId="6" fillId="0" borderId="3" xfId="0" applyFont="1" applyBorder="1" applyAlignment="1">
      <alignment horizontal="centerContinuous"/>
    </xf>
    <xf numFmtId="0" fontId="10" fillId="0" borderId="0" xfId="0" applyFont="1" applyAlignment="1" applyProtection="1">
      <alignment horizontal="centerContinuous"/>
    </xf>
    <xf numFmtId="0" fontId="10" fillId="0" borderId="4" xfId="0" applyFont="1" applyBorder="1" applyAlignment="1" applyProtection="1">
      <alignment horizontal="centerContinuous"/>
    </xf>
    <xf numFmtId="0" fontId="10" fillId="0" borderId="5" xfId="0" applyFont="1" applyBorder="1" applyAlignment="1" applyProtection="1">
      <alignment horizontal="centerContinuous"/>
    </xf>
    <xf numFmtId="0" fontId="10" fillId="0" borderId="3" xfId="0" applyFont="1" applyBorder="1" applyAlignment="1" applyProtection="1">
      <alignment horizontal="centerContinuous"/>
    </xf>
    <xf numFmtId="0" fontId="10" fillId="0" borderId="7" xfId="0" applyFont="1" applyFill="1" applyBorder="1" applyProtection="1"/>
    <xf numFmtId="0" fontId="10" fillId="0" borderId="6" xfId="0" applyFont="1" applyFill="1" applyBorder="1" applyProtection="1"/>
    <xf numFmtId="0" fontId="6" fillId="0" borderId="0" xfId="0" applyFont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8" fillId="0" borderId="12" xfId="0" applyNumberFormat="1" applyFont="1" applyFill="1" applyBorder="1" applyAlignment="1" applyProtection="1">
      <alignment horizontal="right"/>
    </xf>
    <xf numFmtId="164" fontId="15" fillId="0" borderId="12" xfId="0" applyNumberFormat="1" applyFont="1" applyFill="1" applyBorder="1" applyAlignment="1" applyProtection="1">
      <alignment horizontal="center"/>
    </xf>
    <xf numFmtId="0" fontId="6" fillId="0" borderId="13" xfId="0" applyFont="1" applyBorder="1" applyAlignment="1">
      <alignment horizontal="center"/>
    </xf>
    <xf numFmtId="2" fontId="15" fillId="0" borderId="12" xfId="0" applyNumberFormat="1" applyFont="1" applyFill="1" applyBorder="1" applyAlignment="1" applyProtection="1">
      <alignment horizontal="center"/>
    </xf>
    <xf numFmtId="2" fontId="8" fillId="0" borderId="2" xfId="0" applyNumberFormat="1" applyFont="1" applyFill="1" applyBorder="1" applyAlignment="1" applyProtection="1">
      <alignment horizontal="right"/>
    </xf>
    <xf numFmtId="164" fontId="15" fillId="0" borderId="2" xfId="0" applyNumberFormat="1" applyFont="1" applyFill="1" applyBorder="1" applyAlignment="1" applyProtection="1">
      <alignment horizontal="center"/>
    </xf>
    <xf numFmtId="2" fontId="15" fillId="0" borderId="2" xfId="0" applyNumberFormat="1" applyFont="1" applyFill="1" applyBorder="1" applyAlignment="1" applyProtection="1">
      <alignment horizontal="center"/>
    </xf>
    <xf numFmtId="1" fontId="31" fillId="0" borderId="0" xfId="0" applyNumberFormat="1" applyFont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164" fontId="5" fillId="0" borderId="2" xfId="0" applyNumberFormat="1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0" fontId="33" fillId="0" borderId="0" xfId="0" applyFont="1"/>
    <xf numFmtId="0" fontId="32" fillId="0" borderId="0" xfId="0" applyFont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164" fontId="32" fillId="0" borderId="2" xfId="0" applyNumberFormat="1" applyFont="1" applyBorder="1" applyAlignment="1">
      <alignment horizontal="center"/>
    </xf>
    <xf numFmtId="167" fontId="32" fillId="0" borderId="0" xfId="0" applyNumberFormat="1" applyFont="1" applyAlignment="1" applyProtection="1">
      <alignment horizontal="center"/>
    </xf>
    <xf numFmtId="0" fontId="31" fillId="0" borderId="11" xfId="0" applyFont="1" applyBorder="1" applyAlignment="1">
      <alignment horizontal="center"/>
    </xf>
    <xf numFmtId="0" fontId="32" fillId="0" borderId="0" xfId="0" applyFont="1" applyAlignment="1" applyProtection="1"/>
    <xf numFmtId="0" fontId="32" fillId="0" borderId="0" xfId="0" applyFont="1" applyFill="1"/>
    <xf numFmtId="167" fontId="32" fillId="0" borderId="0" xfId="0" applyNumberFormat="1" applyFont="1" applyFill="1" applyBorder="1" applyAlignment="1" applyProtection="1">
      <alignment horizontal="center"/>
    </xf>
    <xf numFmtId="0" fontId="32" fillId="0" borderId="0" xfId="0" applyFont="1" applyAlignment="1"/>
    <xf numFmtId="0" fontId="32" fillId="0" borderId="0" xfId="0" applyFont="1" applyFill="1" applyBorder="1" applyAlignment="1" applyProtection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/>
    <xf numFmtId="0" fontId="5" fillId="0" borderId="0" xfId="0" applyFont="1" applyAlignment="1">
      <alignment horizontal="left"/>
    </xf>
    <xf numFmtId="0" fontId="5" fillId="0" borderId="0" xfId="0" applyFont="1" applyProtection="1"/>
    <xf numFmtId="1" fontId="5" fillId="0" borderId="2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2" fontId="6" fillId="0" borderId="2" xfId="0" applyNumberFormat="1" applyFont="1" applyBorder="1"/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Fill="1" applyBorder="1" applyProtection="1"/>
    <xf numFmtId="0" fontId="35" fillId="0" borderId="0" xfId="0" applyFont="1" applyProtection="1"/>
    <xf numFmtId="0" fontId="35" fillId="0" borderId="0" xfId="0" applyFont="1"/>
    <xf numFmtId="1" fontId="5" fillId="0" borderId="0" xfId="0" applyNumberFormat="1" applyFont="1" applyAlignment="1" applyProtection="1">
      <alignment horizontal="center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 applyProtection="1">
      <alignment horizontal="right"/>
    </xf>
    <xf numFmtId="0" fontId="26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1" fontId="5" fillId="0" borderId="0" xfId="0" applyNumberFormat="1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Fill="1" applyBorder="1" applyProtection="1"/>
    <xf numFmtId="0" fontId="5" fillId="0" borderId="0" xfId="0" applyFont="1" applyBorder="1"/>
    <xf numFmtId="165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168" fontId="6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164" fontId="36" fillId="0" borderId="2" xfId="1" applyNumberFormat="1" applyFont="1" applyFill="1" applyBorder="1" applyAlignment="1" applyProtection="1">
      <alignment horizontal="center"/>
    </xf>
    <xf numFmtId="0" fontId="8" fillId="0" borderId="0" xfId="0" applyFont="1" applyFill="1"/>
    <xf numFmtId="164" fontId="0" fillId="0" borderId="0" xfId="0" applyNumberFormat="1" applyAlignment="1">
      <alignment horizontal="center"/>
    </xf>
    <xf numFmtId="2" fontId="10" fillId="0" borderId="0" xfId="0" applyNumberFormat="1" applyFont="1" applyAlignment="1" applyProtection="1"/>
    <xf numFmtId="0" fontId="10" fillId="0" borderId="0" xfId="0" applyNumberFormat="1" applyFont="1" applyProtection="1"/>
    <xf numFmtId="0" fontId="10" fillId="0" borderId="0" xfId="0" applyNumberFormat="1" applyFont="1" applyFill="1" applyBorder="1" applyProtection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NumberFormat="1" applyFont="1"/>
    <xf numFmtId="0" fontId="0" fillId="0" borderId="0" xfId="0" applyNumberFormat="1"/>
    <xf numFmtId="164" fontId="8" fillId="0" borderId="0" xfId="0" applyNumberFormat="1" applyFont="1" applyFill="1" applyAlignment="1" applyProtection="1">
      <alignment horizontal="center"/>
    </xf>
    <xf numFmtId="164" fontId="5" fillId="0" borderId="0" xfId="0" applyNumberFormat="1" applyFont="1" applyFill="1" applyAlignment="1" applyProtection="1">
      <alignment horizontal="center"/>
    </xf>
    <xf numFmtId="164" fontId="5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165" fontId="10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0" fontId="37" fillId="0" borderId="2" xfId="1" applyFill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left"/>
    </xf>
    <xf numFmtId="2" fontId="36" fillId="0" borderId="2" xfId="1" applyNumberFormat="1" applyFont="1" applyFill="1" applyBorder="1" applyAlignment="1">
      <alignment horizontal="center"/>
    </xf>
    <xf numFmtId="165" fontId="37" fillId="0" borderId="0" xfId="1" applyNumberFormat="1" applyFill="1" applyBorder="1" applyProtection="1"/>
    <xf numFmtId="166" fontId="6" fillId="0" borderId="2" xfId="0" applyNumberFormat="1" applyFont="1" applyFill="1" applyBorder="1" applyAlignment="1" applyProtection="1">
      <alignment horizontal="center"/>
    </xf>
    <xf numFmtId="166" fontId="36" fillId="3" borderId="2" xfId="1" applyNumberFormat="1" applyFont="1" applyFill="1" applyBorder="1" applyAlignment="1" applyProtection="1">
      <alignment horizontal="center"/>
    </xf>
    <xf numFmtId="166" fontId="6" fillId="3" borderId="2" xfId="0" applyNumberFormat="1" applyFont="1" applyFill="1" applyBorder="1" applyAlignment="1" applyProtection="1">
      <alignment horizontal="center"/>
    </xf>
    <xf numFmtId="167" fontId="5" fillId="0" borderId="0" xfId="0" applyNumberFormat="1" applyFont="1" applyFill="1" applyBorder="1" applyAlignment="1" applyProtection="1">
      <alignment horizontal="left"/>
    </xf>
    <xf numFmtId="0" fontId="36" fillId="0" borderId="2" xfId="1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/>
    </xf>
    <xf numFmtId="166" fontId="10" fillId="0" borderId="0" xfId="0" applyNumberFormat="1" applyFont="1" applyFill="1" applyBorder="1" applyProtection="1"/>
    <xf numFmtId="166" fontId="10" fillId="0" borderId="0" xfId="0" applyNumberFormat="1" applyFont="1" applyProtection="1"/>
    <xf numFmtId="1" fontId="10" fillId="0" borderId="0" xfId="0" applyNumberFormat="1" applyFont="1" applyFill="1" applyBorder="1" applyAlignment="1" applyProtection="1">
      <alignment horizontal="center"/>
    </xf>
    <xf numFmtId="44" fontId="10" fillId="0" borderId="0" xfId="2" applyFont="1" applyFill="1" applyBorder="1" applyAlignment="1" applyProtection="1">
      <alignment horizontal="center"/>
    </xf>
    <xf numFmtId="44" fontId="0" fillId="0" borderId="0" xfId="2" applyFont="1"/>
    <xf numFmtId="169" fontId="10" fillId="0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Border="1" applyAlignment="1" applyProtection="1">
      <alignment horizontal="center"/>
    </xf>
    <xf numFmtId="0" fontId="32" fillId="0" borderId="0" xfId="0" applyFont="1" applyBorder="1"/>
    <xf numFmtId="0" fontId="32" fillId="0" borderId="0" xfId="0" applyFont="1" applyFill="1" applyBorder="1"/>
    <xf numFmtId="0" fontId="31" fillId="0" borderId="0" xfId="0" applyFont="1" applyBorder="1" applyAlignment="1" applyProtection="1">
      <alignment horizontal="center"/>
    </xf>
    <xf numFmtId="1" fontId="31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2" fontId="32" fillId="0" borderId="0" xfId="0" applyNumberFormat="1" applyFont="1" applyFill="1" applyBorder="1" applyAlignment="1" applyProtection="1">
      <alignment horizontal="center"/>
    </xf>
    <xf numFmtId="1" fontId="32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 wrapText="1"/>
    </xf>
    <xf numFmtId="0" fontId="41" fillId="0" borderId="2" xfId="3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0" fillId="0" borderId="2" xfId="3" applyFont="1" applyBorder="1" applyAlignment="1">
      <alignment horizontal="center" wrapText="1"/>
    </xf>
    <xf numFmtId="0" fontId="41" fillId="0" borderId="2" xfId="3" applyFont="1" applyBorder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30" fillId="0" borderId="2" xfId="3" applyFont="1" applyBorder="1" applyAlignment="1">
      <alignment horizontal="left" wrapText="1"/>
    </xf>
    <xf numFmtId="0" fontId="31" fillId="0" borderId="0" xfId="0" applyFont="1" applyAlignment="1">
      <alignment horizontal="left"/>
    </xf>
    <xf numFmtId="0" fontId="42" fillId="0" borderId="0" xfId="0" applyFont="1"/>
    <xf numFmtId="1" fontId="32" fillId="0" borderId="0" xfId="0" applyNumberFormat="1" applyFont="1" applyAlignment="1">
      <alignment horizontal="center"/>
    </xf>
    <xf numFmtId="164" fontId="39" fillId="0" borderId="2" xfId="1" applyNumberFormat="1" applyFont="1" applyFill="1" applyBorder="1" applyAlignment="1" applyProtection="1">
      <alignment horizontal="center"/>
    </xf>
    <xf numFmtId="164" fontId="39" fillId="0" borderId="2" xfId="1" applyNumberFormat="1" applyFont="1" applyFill="1" applyBorder="1" applyAlignment="1">
      <alignment horizontal="center"/>
    </xf>
    <xf numFmtId="2" fontId="6" fillId="0" borderId="0" xfId="0" applyNumberFormat="1" applyFont="1" applyFill="1" applyAlignment="1" applyProtection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right"/>
    </xf>
    <xf numFmtId="165" fontId="5" fillId="0" borderId="0" xfId="0" applyNumberFormat="1" applyFont="1" applyFill="1" applyBorder="1" applyProtection="1"/>
    <xf numFmtId="2" fontId="5" fillId="0" borderId="0" xfId="0" applyNumberFormat="1" applyFont="1"/>
    <xf numFmtId="165" fontId="36" fillId="0" borderId="0" xfId="1" applyNumberFormat="1" applyFont="1" applyFill="1" applyBorder="1" applyProtection="1"/>
    <xf numFmtId="0" fontId="32" fillId="0" borderId="0" xfId="0" applyFont="1" applyFill="1" applyBorder="1" applyAlignment="1">
      <alignment horizontal="center"/>
    </xf>
    <xf numFmtId="2" fontId="0" fillId="0" borderId="2" xfId="0" applyNumberFormat="1" applyBorder="1" applyAlignment="1" applyProtection="1">
      <alignment horizontal="center"/>
    </xf>
    <xf numFmtId="164" fontId="6" fillId="0" borderId="2" xfId="0" applyNumberFormat="1" applyFont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right"/>
    </xf>
    <xf numFmtId="164" fontId="6" fillId="0" borderId="0" xfId="0" applyNumberFormat="1" applyFont="1" applyFill="1" applyAlignment="1" applyProtection="1">
      <alignment horizontal="center"/>
    </xf>
    <xf numFmtId="0" fontId="31" fillId="0" borderId="0" xfId="0" applyFont="1" applyFill="1" applyBorder="1" applyProtection="1"/>
    <xf numFmtId="0" fontId="11" fillId="0" borderId="0" xfId="0" applyFont="1" applyAlignment="1">
      <alignment horizontal="left"/>
    </xf>
    <xf numFmtId="0" fontId="32" fillId="0" borderId="0" xfId="0" applyFont="1" applyBorder="1" applyAlignment="1">
      <alignment horizontal="left" wrapText="1"/>
    </xf>
    <xf numFmtId="1" fontId="32" fillId="0" borderId="0" xfId="0" applyNumberFormat="1" applyFont="1" applyAlignment="1">
      <alignment horizontal="right"/>
    </xf>
    <xf numFmtId="2" fontId="5" fillId="0" borderId="2" xfId="0" applyNumberFormat="1" applyFont="1" applyBorder="1" applyAlignment="1" applyProtection="1">
      <alignment horizontal="center"/>
    </xf>
    <xf numFmtId="1" fontId="32" fillId="0" borderId="0" xfId="0" applyNumberFormat="1" applyFont="1" applyBorder="1" applyAlignment="1" applyProtection="1">
      <alignment horizontal="left"/>
    </xf>
    <xf numFmtId="2" fontId="5" fillId="0" borderId="0" xfId="0" applyNumberFormat="1" applyFont="1" applyBorder="1" applyAlignment="1" applyProtection="1">
      <alignment horizontal="left"/>
    </xf>
    <xf numFmtId="0" fontId="5" fillId="0" borderId="0" xfId="0" applyFont="1" applyFill="1" applyBorder="1"/>
    <xf numFmtId="164" fontId="5" fillId="0" borderId="0" xfId="0" applyNumberFormat="1" applyFont="1" applyBorder="1" applyAlignment="1" applyProtection="1">
      <alignment horizontal="left"/>
    </xf>
    <xf numFmtId="0" fontId="41" fillId="0" borderId="0" xfId="0" applyFont="1" applyFill="1" applyBorder="1" applyAlignment="1" applyProtection="1">
      <alignment horizontal="center" wrapText="1"/>
    </xf>
    <xf numFmtId="164" fontId="3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164" fontId="1" fillId="0" borderId="2" xfId="1" applyNumberFormat="1" applyFont="1" applyFill="1" applyBorder="1" applyAlignment="1" applyProtection="1">
      <alignment horizontal="center"/>
    </xf>
    <xf numFmtId="164" fontId="1" fillId="0" borderId="2" xfId="1" applyNumberFormat="1" applyFont="1" applyFill="1" applyBorder="1" applyAlignment="1">
      <alignment horizontal="center" vertical="top" wrapText="1"/>
    </xf>
    <xf numFmtId="164" fontId="1" fillId="0" borderId="2" xfId="1" applyNumberFormat="1" applyFont="1" applyFill="1" applyBorder="1" applyAlignment="1">
      <alignment horizontal="center"/>
    </xf>
    <xf numFmtId="0" fontId="40" fillId="0" borderId="0" xfId="0" applyFont="1" applyAlignment="1"/>
    <xf numFmtId="0" fontId="40" fillId="0" borderId="0" xfId="0" applyFont="1"/>
    <xf numFmtId="0" fontId="40" fillId="0" borderId="2" xfId="0" applyFont="1" applyBorder="1" applyAlignment="1"/>
    <xf numFmtId="0" fontId="5" fillId="0" borderId="2" xfId="0" applyFont="1" applyBorder="1" applyAlignment="1"/>
    <xf numFmtId="0" fontId="0" fillId="0" borderId="2" xfId="0" applyBorder="1" applyAlignment="1"/>
    <xf numFmtId="0" fontId="32" fillId="0" borderId="2" xfId="0" applyFont="1" applyBorder="1" applyAlignment="1"/>
    <xf numFmtId="164" fontId="8" fillId="0" borderId="0" xfId="0" applyNumberFormat="1" applyFont="1" applyAlignment="1">
      <alignment horizontal="center"/>
    </xf>
    <xf numFmtId="0" fontId="36" fillId="0" borderId="0" xfId="1" applyFont="1" applyFill="1" applyAlignment="1" applyProtection="1">
      <alignment horizontal="center"/>
    </xf>
    <xf numFmtId="1" fontId="36" fillId="3" borderId="2" xfId="1" applyNumberFormat="1" applyFont="1" applyFill="1" applyBorder="1" applyAlignment="1" applyProtection="1">
      <alignment horizontal="center"/>
    </xf>
    <xf numFmtId="2" fontId="36" fillId="3" borderId="2" xfId="1" applyNumberFormat="1" applyFont="1" applyFill="1" applyBorder="1" applyAlignment="1" applyProtection="1">
      <alignment horizontal="center"/>
    </xf>
    <xf numFmtId="2" fontId="5" fillId="0" borderId="0" xfId="0" applyNumberFormat="1" applyFont="1" applyBorder="1" applyAlignment="1" applyProtection="1">
      <alignment horizontal="center"/>
    </xf>
    <xf numFmtId="2" fontId="36" fillId="0" borderId="0" xfId="1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right"/>
    </xf>
    <xf numFmtId="44" fontId="6" fillId="0" borderId="0" xfId="2" applyFont="1" applyAlignment="1">
      <alignment horizontal="right"/>
    </xf>
    <xf numFmtId="44" fontId="6" fillId="0" borderId="0" xfId="2" applyFont="1" applyBorder="1" applyAlignment="1">
      <alignment horizontal="right"/>
    </xf>
    <xf numFmtId="1" fontId="5" fillId="0" borderId="0" xfId="0" applyNumberFormat="1" applyFont="1" applyBorder="1" applyAlignment="1">
      <alignment horizontal="center"/>
    </xf>
    <xf numFmtId="164" fontId="3" fillId="0" borderId="2" xfId="1" applyNumberFormat="1" applyFont="1" applyFill="1" applyBorder="1" applyAlignment="1">
      <alignment horizontal="center" vertical="top" wrapText="1"/>
    </xf>
    <xf numFmtId="164" fontId="36" fillId="0" borderId="2" xfId="1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 applyProtection="1">
      <alignment horizontal="right"/>
    </xf>
    <xf numFmtId="2" fontId="5" fillId="0" borderId="2" xfId="0" applyNumberFormat="1" applyFont="1" applyFill="1" applyBorder="1" applyAlignment="1" applyProtection="1">
      <alignment horizontal="right"/>
    </xf>
    <xf numFmtId="0" fontId="27" fillId="0" borderId="0" xfId="0" applyFont="1" applyAlignment="1">
      <alignment horizontal="left" indent="12"/>
    </xf>
    <xf numFmtId="2" fontId="5" fillId="0" borderId="0" xfId="0" applyNumberFormat="1" applyFont="1" applyFill="1" applyBorder="1" applyAlignment="1" applyProtection="1">
      <alignment horizontal="left"/>
    </xf>
    <xf numFmtId="2" fontId="12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2" fontId="6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Continuous"/>
    </xf>
    <xf numFmtId="2" fontId="0" fillId="0" borderId="3" xfId="0" applyNumberFormat="1" applyBorder="1" applyAlignment="1">
      <alignment horizontal="centerContinuous"/>
    </xf>
    <xf numFmtId="2" fontId="0" fillId="0" borderId="6" xfId="0" applyNumberFormat="1" applyBorder="1"/>
    <xf numFmtId="2" fontId="6" fillId="0" borderId="9" xfId="0" applyNumberFormat="1" applyFont="1" applyBorder="1" applyAlignment="1">
      <alignment horizontal="center" vertical="center" wrapText="1"/>
    </xf>
    <xf numFmtId="2" fontId="0" fillId="0" borderId="2" xfId="0" applyNumberFormat="1" applyBorder="1"/>
    <xf numFmtId="2" fontId="10" fillId="0" borderId="12" xfId="0" applyNumberFormat="1" applyFont="1" applyBorder="1" applyProtection="1"/>
    <xf numFmtId="2" fontId="10" fillId="0" borderId="2" xfId="0" applyNumberFormat="1" applyFont="1" applyBorder="1" applyProtection="1"/>
    <xf numFmtId="2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0" xfId="0" applyNumberFormat="1" applyFont="1"/>
    <xf numFmtId="2" fontId="0" fillId="0" borderId="0" xfId="0" applyNumberFormat="1"/>
    <xf numFmtId="2" fontId="5" fillId="0" borderId="2" xfId="0" applyNumberFormat="1" applyFont="1" applyBorder="1" applyAlignment="1">
      <alignment horizontal="center"/>
    </xf>
    <xf numFmtId="2" fontId="9" fillId="0" borderId="0" xfId="0" applyNumberFormat="1" applyFont="1" applyFill="1" applyAlignment="1" applyProtection="1">
      <alignment horizontal="center"/>
    </xf>
    <xf numFmtId="0" fontId="43" fillId="0" borderId="0" xfId="0" applyFont="1" applyFill="1" applyAlignment="1" applyProtection="1">
      <alignment horizontal="center"/>
    </xf>
    <xf numFmtId="0" fontId="43" fillId="0" borderId="0" xfId="0" applyFont="1" applyFill="1" applyAlignment="1">
      <alignment horizontal="center"/>
    </xf>
    <xf numFmtId="2" fontId="43" fillId="0" borderId="0" xfId="0" applyNumberFormat="1" applyFont="1" applyFill="1" applyAlignment="1" applyProtection="1">
      <alignment horizontal="center"/>
    </xf>
    <xf numFmtId="0" fontId="44" fillId="0" borderId="0" xfId="0" applyFont="1" applyFill="1" applyAlignment="1">
      <alignment horizontal="center"/>
    </xf>
    <xf numFmtId="2" fontId="5" fillId="3" borderId="2" xfId="0" applyNumberFormat="1" applyFont="1" applyFill="1" applyBorder="1" applyAlignment="1" applyProtection="1">
      <alignment horizontal="center"/>
    </xf>
    <xf numFmtId="2" fontId="5" fillId="0" borderId="0" xfId="0" applyNumberFormat="1" applyFont="1" applyAlignment="1">
      <alignment horizontal="center"/>
    </xf>
    <xf numFmtId="170" fontId="5" fillId="0" borderId="2" xfId="0" applyNumberFormat="1" applyFont="1" applyBorder="1" applyAlignment="1">
      <alignment horizontal="center"/>
    </xf>
    <xf numFmtId="166" fontId="5" fillId="0" borderId="2" xfId="0" applyNumberFormat="1" applyFont="1" applyFill="1" applyBorder="1" applyAlignment="1" applyProtection="1">
      <alignment horizontal="center"/>
    </xf>
    <xf numFmtId="164" fontId="45" fillId="0" borderId="2" xfId="1" applyNumberFormat="1" applyFont="1" applyFill="1" applyBorder="1" applyAlignment="1" applyProtection="1">
      <alignment horizontal="center"/>
    </xf>
    <xf numFmtId="0" fontId="36" fillId="0" borderId="0" xfId="1" applyFont="1" applyFill="1" applyBorder="1"/>
    <xf numFmtId="0" fontId="46" fillId="0" borderId="0" xfId="0" applyFont="1" applyBorder="1"/>
    <xf numFmtId="0" fontId="46" fillId="0" borderId="0" xfId="0" applyFont="1" applyBorder="1" applyAlignment="1">
      <alignment horizontal="center"/>
    </xf>
    <xf numFmtId="0" fontId="27" fillId="0" borderId="0" xfId="0" applyFont="1" applyAlignment="1"/>
    <xf numFmtId="0" fontId="28" fillId="0" borderId="0" xfId="0" applyFont="1" applyAlignment="1"/>
    <xf numFmtId="2" fontId="36" fillId="0" borderId="2" xfId="1" applyNumberFormat="1" applyFont="1" applyFill="1" applyBorder="1" applyAlignment="1" applyProtection="1">
      <alignment horizontal="center"/>
    </xf>
    <xf numFmtId="2" fontId="36" fillId="0" borderId="2" xfId="1" quotePrefix="1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Alignment="1" applyProtection="1">
      <alignment horizontal="left"/>
    </xf>
    <xf numFmtId="164" fontId="36" fillId="0" borderId="8" xfId="1" applyNumberFormat="1" applyFont="1" applyFill="1" applyBorder="1" applyAlignment="1">
      <alignment horizontal="center"/>
    </xf>
    <xf numFmtId="0" fontId="36" fillId="0" borderId="8" xfId="1" applyFont="1" applyFill="1" applyBorder="1" applyAlignment="1">
      <alignment horizontal="left" wrapText="1"/>
    </xf>
    <xf numFmtId="0" fontId="36" fillId="0" borderId="0" xfId="1" applyFont="1" applyFill="1" applyAlignment="1">
      <alignment horizontal="center"/>
    </xf>
    <xf numFmtId="171" fontId="5" fillId="0" borderId="0" xfId="0" applyNumberFormat="1" applyFont="1" applyAlignment="1" applyProtection="1">
      <alignment horizontal="center"/>
    </xf>
    <xf numFmtId="0" fontId="47" fillId="0" borderId="0" xfId="0" applyFont="1" applyAlignment="1" applyProtection="1">
      <alignment horizontal="left"/>
    </xf>
    <xf numFmtId="0" fontId="47" fillId="0" borderId="0" xfId="0" applyFont="1" applyAlignment="1">
      <alignment horizontal="left"/>
    </xf>
    <xf numFmtId="0" fontId="48" fillId="0" borderId="0" xfId="3" applyFont="1" applyBorder="1" applyAlignment="1">
      <alignment horizontal="left"/>
    </xf>
    <xf numFmtId="1" fontId="49" fillId="0" borderId="0" xfId="0" applyNumberFormat="1" applyFont="1" applyAlignment="1" applyProtection="1">
      <alignment horizontal="center"/>
    </xf>
    <xf numFmtId="1" fontId="49" fillId="0" borderId="0" xfId="0" applyNumberFormat="1" applyFont="1" applyAlignment="1" applyProtection="1">
      <alignment horizontal="right"/>
    </xf>
    <xf numFmtId="171" fontId="8" fillId="0" borderId="0" xfId="0" applyNumberFormat="1" applyFont="1" applyAlignment="1" applyProtection="1">
      <alignment horizontal="center"/>
    </xf>
    <xf numFmtId="0" fontId="48" fillId="0" borderId="1" xfId="3" applyFont="1" applyBorder="1" applyAlignment="1"/>
    <xf numFmtId="0" fontId="48" fillId="0" borderId="0" xfId="3" applyFont="1" applyBorder="1" applyAlignment="1"/>
    <xf numFmtId="0" fontId="49" fillId="0" borderId="0" xfId="1" applyFont="1" applyFill="1" applyBorder="1"/>
    <xf numFmtId="0" fontId="9" fillId="0" borderId="14" xfId="0" applyFont="1" applyBorder="1" applyAlignment="1" applyProtection="1">
      <alignment horizontal="left"/>
    </xf>
    <xf numFmtId="0" fontId="9" fillId="0" borderId="14" xfId="0" applyFont="1" applyBorder="1" applyAlignment="1">
      <alignment horizontal="left"/>
    </xf>
    <xf numFmtId="0" fontId="31" fillId="0" borderId="14" xfId="0" applyFont="1" applyFill="1" applyBorder="1" applyAlignment="1" applyProtection="1">
      <alignment horizontal="left"/>
    </xf>
    <xf numFmtId="1" fontId="47" fillId="0" borderId="0" xfId="0" applyNumberFormat="1" applyFont="1" applyAlignment="1" applyProtection="1">
      <alignment horizontal="right"/>
    </xf>
    <xf numFmtId="0" fontId="48" fillId="0" borderId="1" xfId="3" applyFont="1" applyBorder="1" applyAlignment="1">
      <alignment horizontal="left" wrapText="1"/>
    </xf>
    <xf numFmtId="0" fontId="48" fillId="0" borderId="0" xfId="3" applyFont="1" applyBorder="1" applyAlignment="1">
      <alignment horizontal="left" wrapText="1"/>
    </xf>
    <xf numFmtId="0" fontId="48" fillId="0" borderId="1" xfId="3" applyFont="1" applyBorder="1" applyAlignment="1">
      <alignment horizontal="left"/>
    </xf>
    <xf numFmtId="0" fontId="48" fillId="0" borderId="0" xfId="3" applyFont="1" applyBorder="1" applyAlignment="1">
      <alignment horizontal="left"/>
    </xf>
    <xf numFmtId="0" fontId="48" fillId="0" borderId="1" xfId="3" applyFont="1" applyBorder="1" applyAlignment="1">
      <alignment horizontal="left" vertical="center" wrapText="1"/>
    </xf>
    <xf numFmtId="0" fontId="48" fillId="0" borderId="0" xfId="3" applyFont="1" applyBorder="1" applyAlignment="1">
      <alignment horizontal="left" vertical="center" wrapText="1"/>
    </xf>
    <xf numFmtId="0" fontId="0" fillId="0" borderId="0" xfId="0" applyAlignment="1"/>
  </cellXfs>
  <cellStyles count="5">
    <cellStyle name="Bad" xfId="1" builtinId="27"/>
    <cellStyle name="Currency" xfId="2" builtinId="4"/>
    <cellStyle name="Normal" xfId="0" builtinId="0"/>
    <cellStyle name="Normal 2" xfId="3"/>
    <cellStyle name="Normal 3" xfId="4"/>
  </cellStyles>
  <dxfs count="2"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33</xdr:row>
      <xdr:rowOff>9525</xdr:rowOff>
    </xdr:from>
    <xdr:to>
      <xdr:col>21</xdr:col>
      <xdr:colOff>0</xdr:colOff>
      <xdr:row>40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4"/>
  <sheetViews>
    <sheetView tabSelected="1" topLeftCell="A31" zoomScale="80" workbookViewId="0">
      <selection activeCell="A56" sqref="A56"/>
    </sheetView>
  </sheetViews>
  <sheetFormatPr defaultRowHeight="12.75"/>
  <cols>
    <col min="1" max="1" width="53.5703125" customWidth="1"/>
    <col min="2" max="2" width="14.85546875" customWidth="1"/>
    <col min="3" max="3" width="11.85546875" style="3" customWidth="1"/>
    <col min="4" max="4" width="10.5703125" customWidth="1"/>
    <col min="5" max="5" width="12.85546875" customWidth="1"/>
    <col min="6" max="6" width="12.42578125" customWidth="1"/>
    <col min="8" max="8" width="11.5703125" customWidth="1"/>
    <col min="9" max="9" width="15.28515625" customWidth="1"/>
    <col min="10" max="10" width="15.5703125" style="209" customWidth="1"/>
    <col min="11" max="11" width="15.5703125" style="3" customWidth="1"/>
    <col min="12" max="12" width="9.28515625" customWidth="1"/>
    <col min="13" max="13" width="12.5703125" customWidth="1"/>
    <col min="14" max="14" width="11.140625" customWidth="1"/>
    <col min="15" max="15" width="12.42578125" customWidth="1"/>
    <col min="16" max="16" width="15.42578125" customWidth="1"/>
  </cols>
  <sheetData>
    <row r="1" spans="1:19" ht="18.75">
      <c r="A1" s="7" t="s">
        <v>206</v>
      </c>
      <c r="B1" s="6"/>
      <c r="C1" s="18"/>
      <c r="D1" s="6"/>
      <c r="E1" s="6"/>
      <c r="F1" s="6"/>
      <c r="G1" s="38"/>
      <c r="H1" s="6"/>
      <c r="I1" s="6"/>
      <c r="J1" s="208"/>
      <c r="K1" s="135" t="s">
        <v>102</v>
      </c>
      <c r="L1" s="6"/>
      <c r="M1" s="6"/>
      <c r="N1" s="6"/>
      <c r="O1" s="6"/>
    </row>
    <row r="2" spans="1:19">
      <c r="A2" s="6"/>
      <c r="B2" s="5" t="s">
        <v>21</v>
      </c>
      <c r="C2" s="5" t="s">
        <v>5</v>
      </c>
      <c r="D2" s="6"/>
      <c r="E2" s="10" t="s">
        <v>51</v>
      </c>
      <c r="F2" s="5" t="s">
        <v>44</v>
      </c>
      <c r="G2" s="38"/>
      <c r="H2" s="6"/>
      <c r="I2" s="6"/>
      <c r="J2" s="81" t="s">
        <v>101</v>
      </c>
      <c r="K2" s="5" t="s">
        <v>90</v>
      </c>
      <c r="L2" s="5" t="s">
        <v>46</v>
      </c>
      <c r="M2" s="10" t="s">
        <v>49</v>
      </c>
      <c r="N2" s="10" t="s">
        <v>70</v>
      </c>
      <c r="O2" s="38" t="s">
        <v>98</v>
      </c>
      <c r="P2" s="25"/>
    </row>
    <row r="3" spans="1:19">
      <c r="A3" s="6"/>
      <c r="B3" s="5" t="s">
        <v>6</v>
      </c>
      <c r="C3" s="5" t="s">
        <v>50</v>
      </c>
      <c r="D3" s="5" t="s">
        <v>72</v>
      </c>
      <c r="E3" s="5" t="s">
        <v>3</v>
      </c>
      <c r="F3" s="36" t="s">
        <v>45</v>
      </c>
      <c r="G3" s="5" t="s">
        <v>4</v>
      </c>
      <c r="H3" s="5" t="s">
        <v>39</v>
      </c>
      <c r="I3" s="2" t="s">
        <v>40</v>
      </c>
      <c r="J3" s="17" t="s">
        <v>89</v>
      </c>
      <c r="K3" s="5" t="s">
        <v>2</v>
      </c>
      <c r="L3" s="5" t="s">
        <v>47</v>
      </c>
      <c r="M3" s="5" t="s">
        <v>3</v>
      </c>
      <c r="N3" s="5" t="s">
        <v>69</v>
      </c>
      <c r="O3" s="5" t="s">
        <v>99</v>
      </c>
      <c r="S3" s="5"/>
    </row>
    <row r="4" spans="1:19">
      <c r="A4" s="349" t="s">
        <v>173</v>
      </c>
      <c r="B4" s="60">
        <f>Paper!C68</f>
        <v>66.618421052631575</v>
      </c>
      <c r="C4" s="60">
        <f>Static!B5</f>
        <v>50</v>
      </c>
      <c r="D4" s="298">
        <f>MSRP!L7</f>
        <v>36</v>
      </c>
      <c r="E4" s="60">
        <f>'Subjective Handling '!M4</f>
        <v>39.75</v>
      </c>
      <c r="F4" s="81">
        <f>'Fuel Economy '!E10</f>
        <v>192.43070362473344</v>
      </c>
      <c r="G4" s="60">
        <f>Oral!W4</f>
        <v>50.625</v>
      </c>
      <c r="H4" s="60">
        <f>Noise!G5</f>
        <v>300</v>
      </c>
      <c r="I4" s="274">
        <f>Acceleration!E5</f>
        <v>23.521126760563362</v>
      </c>
      <c r="J4" s="272">
        <f>'Lab Emissions'!K5+'Lab Emissions'!O5</f>
        <v>259.08</v>
      </c>
      <c r="K4" s="272">
        <f>'In Service Emissions'!C6+'In Service Emissions'!I6</f>
        <v>94.6603924933776</v>
      </c>
      <c r="L4" s="272">
        <f>'Cold Start'!C4:C15</f>
        <v>50</v>
      </c>
      <c r="M4" s="272">
        <f>'Objective Handling'!E6</f>
        <v>75</v>
      </c>
      <c r="N4" s="272">
        <f>'Penalties and Bonuses'!J4</f>
        <v>100</v>
      </c>
      <c r="O4" s="220">
        <f>'Vehicle Weights'!G4</f>
        <v>0</v>
      </c>
      <c r="S4" s="60"/>
    </row>
    <row r="5" spans="1:19">
      <c r="A5" s="349" t="s">
        <v>174</v>
      </c>
      <c r="B5" s="60">
        <f>Paper!D68</f>
        <v>84.28</v>
      </c>
      <c r="C5" s="60">
        <f>Static!B6</f>
        <v>50</v>
      </c>
      <c r="D5" s="298">
        <f>MSRP!L8</f>
        <v>37.686184862397845</v>
      </c>
      <c r="E5" s="60">
        <f>'Subjective Handling '!M5</f>
        <v>36.666666666666664</v>
      </c>
      <c r="F5" s="81">
        <f>'Fuel Economy '!E11</f>
        <v>189.49893390191897</v>
      </c>
      <c r="G5" s="60">
        <f>Oral!W5</f>
        <v>69.125</v>
      </c>
      <c r="H5" s="60">
        <f>Noise!G6</f>
        <v>0</v>
      </c>
      <c r="I5" s="274">
        <f>Acceleration!E6</f>
        <v>47.605633802816897</v>
      </c>
      <c r="J5" s="272">
        <f>'Lab Emissions'!K6+'Lab Emissions'!O6</f>
        <v>334.83000000000004</v>
      </c>
      <c r="K5" s="272">
        <f>'In Service Emissions'!C7+'In Service Emissions'!I7</f>
        <v>64.691169083906232</v>
      </c>
      <c r="L5" s="272">
        <f>'Cold Start'!C5</f>
        <v>0</v>
      </c>
      <c r="M5" s="272">
        <f>'Objective Handling'!E7</f>
        <v>62.916666666666686</v>
      </c>
      <c r="N5" s="272">
        <f>'Penalties and Bonuses'!J5</f>
        <v>-120</v>
      </c>
      <c r="O5" s="220">
        <f>'Vehicle Weights'!G5</f>
        <v>0</v>
      </c>
      <c r="S5" s="60"/>
    </row>
    <row r="6" spans="1:19">
      <c r="A6" s="349" t="s">
        <v>175</v>
      </c>
      <c r="B6" s="60">
        <f>Paper!E68</f>
        <v>84.795454545454547</v>
      </c>
      <c r="C6" s="60">
        <f>Static!B7</f>
        <v>50</v>
      </c>
      <c r="D6" s="298">
        <f>MSRP!L9</f>
        <v>28.718376877506223</v>
      </c>
      <c r="E6" s="60">
        <f>'Subjective Handling '!M6</f>
        <v>43.125</v>
      </c>
      <c r="F6" s="81">
        <f>'Fuel Economy '!E12</f>
        <v>0</v>
      </c>
      <c r="G6" s="60">
        <f>Oral!W6</f>
        <v>66.875</v>
      </c>
      <c r="H6" s="60">
        <f>Noise!G7</f>
        <v>18.883881176912499</v>
      </c>
      <c r="I6" s="274">
        <f>Acceleration!E7</f>
        <v>46.478873239436609</v>
      </c>
      <c r="J6" s="272">
        <f>'Lab Emissions'!K7+'Lab Emissions'!O7</f>
        <v>172.75</v>
      </c>
      <c r="K6" s="272">
        <f>'In Service Emissions'!C8+'In Service Emissions'!I8</f>
        <v>53.338412664767802</v>
      </c>
      <c r="L6" s="272">
        <f>'Cold Start'!C6</f>
        <v>50</v>
      </c>
      <c r="M6" s="272">
        <f>'Objective Handling'!E8</f>
        <v>65.9722222222222</v>
      </c>
      <c r="N6" s="272">
        <f>'Penalties and Bonuses'!J6</f>
        <v>-10</v>
      </c>
      <c r="O6" s="220">
        <f>'Vehicle Weights'!G6</f>
        <v>0</v>
      </c>
      <c r="S6" s="60"/>
    </row>
    <row r="7" spans="1:19" s="175" customFormat="1">
      <c r="A7" s="355" t="s">
        <v>176</v>
      </c>
      <c r="B7" s="60">
        <f>Paper!F68</f>
        <v>71.192307692307693</v>
      </c>
      <c r="C7" s="60">
        <f>Static!B8</f>
        <v>50</v>
      </c>
      <c r="D7" s="298">
        <f>MSRP!L10</f>
        <v>22</v>
      </c>
      <c r="E7" s="60">
        <f>'Subjective Handling '!M7</f>
        <v>0</v>
      </c>
      <c r="F7" s="81">
        <f>'Fuel Economy '!E13</f>
        <v>0</v>
      </c>
      <c r="G7" s="272">
        <f>Oral!W7</f>
        <v>45.7</v>
      </c>
      <c r="H7" s="272">
        <f>Noise!G8</f>
        <v>0</v>
      </c>
      <c r="I7" s="274">
        <f>Acceleration!E8</f>
        <v>0</v>
      </c>
      <c r="J7" s="272">
        <f>'Lab Emissions'!K8+'Lab Emissions'!O8</f>
        <v>0</v>
      </c>
      <c r="K7" s="272">
        <f>'In Service Emissions'!C9+'In Service Emissions'!I9</f>
        <v>0</v>
      </c>
      <c r="L7" s="272">
        <f>'Cold Start'!C7</f>
        <v>0</v>
      </c>
      <c r="M7" s="272">
        <f>'Objective Handling'!E9</f>
        <v>0</v>
      </c>
      <c r="N7" s="272">
        <f>'Penalties and Bonuses'!J7</f>
        <v>-10</v>
      </c>
      <c r="O7" s="279">
        <f>'Vehicle Weights'!G7</f>
        <v>0</v>
      </c>
      <c r="S7" s="272"/>
    </row>
    <row r="8" spans="1:19" s="175" customFormat="1">
      <c r="A8" s="349" t="s">
        <v>177</v>
      </c>
      <c r="B8" s="60">
        <f>Paper!G68</f>
        <v>80.895833333333329</v>
      </c>
      <c r="C8" s="60">
        <f>Static!B9</f>
        <v>50</v>
      </c>
      <c r="D8" s="298">
        <f>MSRP!L11</f>
        <v>36.147439943086653</v>
      </c>
      <c r="E8" s="60">
        <f>'Subjective Handling '!M8</f>
        <v>38.125</v>
      </c>
      <c r="F8" s="81">
        <f>'Fuel Economy '!E14</f>
        <v>200</v>
      </c>
      <c r="G8" s="272">
        <f>Oral!W8</f>
        <v>63.55</v>
      </c>
      <c r="H8" s="272">
        <f>Noise!G9</f>
        <v>34.095601391199821</v>
      </c>
      <c r="I8" s="274">
        <f>Acceleration!E9</f>
        <v>41.267605633802802</v>
      </c>
      <c r="J8" s="272">
        <f>'Lab Emissions'!K9+'Lab Emissions'!O9</f>
        <v>172.29</v>
      </c>
      <c r="K8" s="272">
        <f>'In Service Emissions'!C10+'In Service Emissions'!I10</f>
        <v>81.328209520103741</v>
      </c>
      <c r="L8" s="272">
        <f>'Cold Start'!C8</f>
        <v>50</v>
      </c>
      <c r="M8" s="272">
        <f>'Objective Handling'!E10</f>
        <v>48.958333333333314</v>
      </c>
      <c r="N8" s="272">
        <f>'Penalties and Bonuses'!J8</f>
        <v>90</v>
      </c>
      <c r="O8" s="279">
        <f>'Vehicle Weights'!G8</f>
        <v>0</v>
      </c>
      <c r="S8" s="272"/>
    </row>
    <row r="9" spans="1:19" s="31" customFormat="1" ht="15">
      <c r="A9" s="356" t="s">
        <v>178</v>
      </c>
      <c r="B9" s="310">
        <f>Paper!H68</f>
        <v>82.326086956521735</v>
      </c>
      <c r="C9" s="311">
        <f>Static!B10</f>
        <v>50</v>
      </c>
      <c r="D9" s="298">
        <f>MSRP!L12</f>
        <v>35.318815932526206</v>
      </c>
      <c r="E9" s="310">
        <f>'Subjective Handling '!M9</f>
        <v>35.375</v>
      </c>
      <c r="F9" s="81">
        <f>'Fuel Economy '!E15</f>
        <v>100</v>
      </c>
      <c r="G9" s="272">
        <f>Oral!W9</f>
        <v>64.65789473684211</v>
      </c>
      <c r="H9" s="310">
        <f>Noise!G10</f>
        <v>88.262268057866507</v>
      </c>
      <c r="I9" s="312">
        <f>Acceleration!E10</f>
        <v>37.042253521126753</v>
      </c>
      <c r="J9" s="311">
        <f>'Lab Emissions'!K10+'Lab Emissions'!O10</f>
        <v>222.22</v>
      </c>
      <c r="K9" s="272">
        <f>'In Service Emissions'!C11+'In Service Emissions'!I11</f>
        <v>44.871283065328505</v>
      </c>
      <c r="L9" s="311">
        <f>'Cold Start'!C9</f>
        <v>50</v>
      </c>
      <c r="M9" s="311">
        <f>'Objective Handling'!E11</f>
        <v>68.541666666666629</v>
      </c>
      <c r="N9" s="311">
        <f>'Penalties and Bonuses'!J9</f>
        <v>-10</v>
      </c>
      <c r="O9" s="313">
        <f>'Vehicle Weights'!G9</f>
        <v>0</v>
      </c>
      <c r="S9" s="310"/>
    </row>
    <row r="10" spans="1:19">
      <c r="A10" s="355" t="s">
        <v>179</v>
      </c>
      <c r="B10" s="60">
        <f>Paper!I68</f>
        <v>66.673913043478265</v>
      </c>
      <c r="C10" s="60">
        <f>Static!B11</f>
        <v>50</v>
      </c>
      <c r="D10" s="298">
        <f>MSRP!L13</f>
        <v>21.139919479814552</v>
      </c>
      <c r="E10" s="60">
        <f>'Subjective Handling '!M10</f>
        <v>44</v>
      </c>
      <c r="F10" s="81">
        <f>'Fuel Economy '!E16</f>
        <v>0</v>
      </c>
      <c r="G10" s="60">
        <f>Oral!W10</f>
        <v>52</v>
      </c>
      <c r="H10" s="60">
        <f>Noise!G11</f>
        <v>28.050547843579128</v>
      </c>
      <c r="I10" s="274">
        <f>Acceleration!E11</f>
        <v>48.591549295774627</v>
      </c>
      <c r="J10" s="272">
        <f>'Lab Emissions'!K11+'Lab Emissions'!O11</f>
        <v>34.630000000000003</v>
      </c>
      <c r="K10" s="272">
        <f>'In Service Emissions'!C12+'In Service Emissions'!I12</f>
        <v>5.734131403069334</v>
      </c>
      <c r="L10" s="272">
        <f>'Cold Start'!C10</f>
        <v>50</v>
      </c>
      <c r="M10" s="272">
        <f>'Objective Handling'!E12</f>
        <v>57.291666666666657</v>
      </c>
      <c r="N10" s="272">
        <f>'Penalties and Bonuses'!J10</f>
        <v>-10</v>
      </c>
      <c r="O10" s="220">
        <f>'Vehicle Weights'!G10</f>
        <v>0</v>
      </c>
      <c r="S10" s="60"/>
    </row>
    <row r="11" spans="1:19" ht="15">
      <c r="A11" s="356" t="s">
        <v>180</v>
      </c>
      <c r="B11" s="60">
        <f>Paper!J68</f>
        <v>47.565217391304351</v>
      </c>
      <c r="C11" s="60">
        <f>Static!B12</f>
        <v>50</v>
      </c>
      <c r="D11" s="298">
        <f>MSRP!L14</f>
        <v>25.730446875787898</v>
      </c>
      <c r="E11" s="60">
        <f>'Subjective Handling '!M11</f>
        <v>37.125</v>
      </c>
      <c r="F11" s="81">
        <f>'Fuel Economy '!E17</f>
        <v>0</v>
      </c>
      <c r="G11" s="60">
        <f>Oral!W11</f>
        <v>34.94736842105263</v>
      </c>
      <c r="H11" s="60">
        <f>Noise!G12</f>
        <v>0</v>
      </c>
      <c r="I11" s="274">
        <f>Acceleration!E12</f>
        <v>21.126760563380259</v>
      </c>
      <c r="J11" s="272">
        <f>'Lab Emissions'!K12+'Lab Emissions'!O12</f>
        <v>164.16</v>
      </c>
      <c r="K11" s="272">
        <f>'In Service Emissions'!C13+'In Service Emissions'!I13</f>
        <v>50.485676455306383</v>
      </c>
      <c r="L11" s="272">
        <f>'Cold Start'!C11</f>
        <v>0</v>
      </c>
      <c r="M11" s="272">
        <f>'Objective Handling'!E13</f>
        <v>53.472222222222229</v>
      </c>
      <c r="N11" s="272">
        <f>'Penalties and Bonuses'!J11</f>
        <v>-10</v>
      </c>
      <c r="O11" s="220">
        <f>'Vehicle Weights'!G11</f>
        <v>0</v>
      </c>
      <c r="S11" s="60"/>
    </row>
    <row r="12" spans="1:19" s="31" customFormat="1" ht="15">
      <c r="A12" s="356" t="s">
        <v>181</v>
      </c>
      <c r="B12" s="310">
        <f>Paper!K68</f>
        <v>74.05263157894737</v>
      </c>
      <c r="C12" s="311">
        <f>Static!B13</f>
        <v>50</v>
      </c>
      <c r="D12" s="298">
        <f>MSRP!L15</f>
        <v>34.937117492986204</v>
      </c>
      <c r="E12" s="310">
        <f>'Subjective Handling '!M12</f>
        <v>38.4375</v>
      </c>
      <c r="F12" s="81">
        <f>'Fuel Economy '!E18</f>
        <v>0</v>
      </c>
      <c r="G12" s="60">
        <f>Oral!W12</f>
        <v>47.44736842105263</v>
      </c>
      <c r="H12" s="310">
        <f>Noise!G13</f>
        <v>280</v>
      </c>
      <c r="I12" s="312">
        <f>Acceleration!E13</f>
        <v>34.084507042253506</v>
      </c>
      <c r="J12" s="311">
        <f>'Lab Emissions'!K13+'Lab Emissions'!O13</f>
        <v>322.13</v>
      </c>
      <c r="K12" s="311">
        <f>'In Service Emissions'!C14+'In Service Emissions'!I14</f>
        <v>96.673990242011257</v>
      </c>
      <c r="L12" s="311">
        <f>'Cold Start'!C12</f>
        <v>50</v>
      </c>
      <c r="M12" s="311">
        <f>'Objective Handling'!E14</f>
        <v>0</v>
      </c>
      <c r="N12" s="311">
        <f>'Penalties and Bonuses'!J12</f>
        <v>-10</v>
      </c>
      <c r="O12" s="313">
        <f>'Vehicle Weights'!G12</f>
        <v>0</v>
      </c>
      <c r="S12" s="310"/>
    </row>
    <row r="13" spans="1:19" s="143" customFormat="1" ht="15">
      <c r="A13" s="356" t="s">
        <v>182</v>
      </c>
      <c r="B13" s="60">
        <f>Paper!L68</f>
        <v>83.05</v>
      </c>
      <c r="C13" s="60">
        <f>Static!B14</f>
        <v>50</v>
      </c>
      <c r="D13" s="298">
        <f>MSRP!L16</f>
        <v>26.319618886110668</v>
      </c>
      <c r="E13" s="60">
        <f>'Subjective Handling '!M13</f>
        <v>34.5</v>
      </c>
      <c r="F13" s="81">
        <f>'Fuel Economy '!E19</f>
        <v>0</v>
      </c>
      <c r="G13" s="60">
        <f>Oral!W13</f>
        <v>73.526315789473685</v>
      </c>
      <c r="H13" s="60">
        <f>Noise!G14</f>
        <v>287.5</v>
      </c>
      <c r="I13" s="274">
        <f>Acceleration!E14</f>
        <v>34.64788732394365</v>
      </c>
      <c r="J13" s="272">
        <f>'Lab Emissions'!K14+'Lab Emissions'!O14</f>
        <v>70</v>
      </c>
      <c r="K13" s="272">
        <f>'In Service Emissions'!C15+'In Service Emissions'!I15</f>
        <v>68.719141622782104</v>
      </c>
      <c r="L13" s="272">
        <f>'Cold Start'!C13</f>
        <v>50</v>
      </c>
      <c r="M13" s="272">
        <f>'Objective Handling'!E15</f>
        <v>26.041666666666686</v>
      </c>
      <c r="N13" s="272">
        <f>'Penalties and Bonuses'!J13</f>
        <v>90</v>
      </c>
      <c r="O13" s="220">
        <f>'Vehicle Weights'!G13</f>
        <v>0</v>
      </c>
      <c r="P13" s="175"/>
      <c r="S13" s="158"/>
    </row>
    <row r="14" spans="1:19" ht="15">
      <c r="A14" s="356" t="s">
        <v>183</v>
      </c>
      <c r="B14" s="60">
        <f>Paper!M68</f>
        <v>57.136363636363633</v>
      </c>
      <c r="C14" s="60">
        <f>Static!B15</f>
        <v>50</v>
      </c>
      <c r="D14" s="298">
        <f>MSRP!L17</f>
        <v>17.60291054615297</v>
      </c>
      <c r="E14" s="60">
        <f>'Subjective Handling '!M14</f>
        <v>0</v>
      </c>
      <c r="F14" s="81">
        <f>'Fuel Economy '!E20</f>
        <v>0</v>
      </c>
      <c r="G14" s="60">
        <f>Oral!W14</f>
        <v>69.736842105263165</v>
      </c>
      <c r="H14" s="60">
        <f>Noise!G15</f>
        <v>0</v>
      </c>
      <c r="I14" s="274">
        <f>Acceleration!E15</f>
        <v>50</v>
      </c>
      <c r="J14" s="272">
        <f>'Lab Emissions'!K15+'Lab Emissions'!O15</f>
        <v>0</v>
      </c>
      <c r="K14" s="272">
        <f>'In Service Emissions'!C16+'In Service Emissions'!I16</f>
        <v>0</v>
      </c>
      <c r="L14" s="272">
        <f>'Cold Start'!C14</f>
        <v>0</v>
      </c>
      <c r="M14" s="272">
        <f>'Objective Handling'!E16</f>
        <v>53.124999999999972</v>
      </c>
      <c r="N14" s="272">
        <f>'Penalties and Bonuses'!J14</f>
        <v>-20</v>
      </c>
      <c r="O14" s="220">
        <f>'Vehicle Weights'!G14</f>
        <v>0</v>
      </c>
    </row>
    <row r="15" spans="1:19" ht="15">
      <c r="A15" s="356" t="s">
        <v>184</v>
      </c>
      <c r="B15" s="60">
        <f>Paper!N68</f>
        <v>77.973684210526315</v>
      </c>
      <c r="C15" s="60">
        <f>Static!B16</f>
        <v>50</v>
      </c>
      <c r="D15" s="298">
        <f>MSRP!L18</f>
        <v>14.637121186572692</v>
      </c>
      <c r="E15" s="60">
        <f>'Subjective Handling '!M15</f>
        <v>0</v>
      </c>
      <c r="F15" s="81">
        <f>'Fuel Economy '!E21</f>
        <v>0</v>
      </c>
      <c r="G15" s="60">
        <f>Oral!W15</f>
        <v>50.368421052631582</v>
      </c>
      <c r="H15" s="60">
        <f>Noise!G16</f>
        <v>0</v>
      </c>
      <c r="I15" s="274">
        <f>Acceleration!E16</f>
        <v>0</v>
      </c>
      <c r="J15" s="272">
        <f>'Lab Emissions'!K16+'Lab Emissions'!O16</f>
        <v>0</v>
      </c>
      <c r="K15" s="272">
        <f>'In Service Emissions'!C17+'In Service Emissions'!I17</f>
        <v>0</v>
      </c>
      <c r="L15" s="272">
        <f>'Cold Start'!C15</f>
        <v>0</v>
      </c>
      <c r="M15" s="272">
        <f>'Objective Handling'!E17</f>
        <v>0</v>
      </c>
      <c r="N15" s="272">
        <f>'Penalties and Bonuses'!J15</f>
        <v>-10</v>
      </c>
      <c r="O15" s="220">
        <f>'Vehicle Weights'!G15</f>
        <v>0</v>
      </c>
    </row>
    <row r="16" spans="1:19">
      <c r="B16" s="2" t="s">
        <v>48</v>
      </c>
      <c r="C16" s="2" t="s">
        <v>48</v>
      </c>
      <c r="D16" s="2" t="s">
        <v>48</v>
      </c>
      <c r="E16" s="2" t="s">
        <v>48</v>
      </c>
      <c r="F16" s="2" t="s">
        <v>48</v>
      </c>
      <c r="G16" s="2" t="s">
        <v>48</v>
      </c>
      <c r="H16" s="2" t="s">
        <v>48</v>
      </c>
      <c r="I16" s="2" t="s">
        <v>48</v>
      </c>
      <c r="J16" s="2" t="s">
        <v>48</v>
      </c>
      <c r="K16" s="2" t="s">
        <v>48</v>
      </c>
      <c r="L16" s="2" t="s">
        <v>48</v>
      </c>
      <c r="M16" s="2" t="s">
        <v>48</v>
      </c>
      <c r="N16" s="13"/>
      <c r="O16" s="2" t="s">
        <v>48</v>
      </c>
    </row>
    <row r="17" spans="1:15">
      <c r="A17" s="10"/>
      <c r="B17" s="20" t="s">
        <v>19</v>
      </c>
      <c r="C17" s="17" t="s">
        <v>19</v>
      </c>
      <c r="D17" s="17" t="s">
        <v>22</v>
      </c>
      <c r="E17" s="34" t="s">
        <v>48</v>
      </c>
      <c r="F17" s="17" t="s">
        <v>19</v>
      </c>
      <c r="G17" s="33"/>
      <c r="H17" s="33"/>
      <c r="I17" s="67"/>
      <c r="L17" s="54"/>
      <c r="M17" s="35"/>
      <c r="N17" s="9"/>
      <c r="O17" s="6"/>
    </row>
    <row r="18" spans="1:15">
      <c r="A18" s="6"/>
      <c r="B18" s="20" t="s">
        <v>18</v>
      </c>
      <c r="C18" s="20" t="s">
        <v>21</v>
      </c>
      <c r="D18" s="5" t="s">
        <v>23</v>
      </c>
      <c r="E18" s="20" t="s">
        <v>19</v>
      </c>
      <c r="F18" s="5" t="s">
        <v>24</v>
      </c>
      <c r="G18" s="20" t="s">
        <v>25</v>
      </c>
      <c r="H18" s="20" t="s">
        <v>27</v>
      </c>
      <c r="L18" s="54"/>
      <c r="M18" s="35"/>
      <c r="N18" s="9"/>
      <c r="O18" s="6"/>
    </row>
    <row r="19" spans="1:15">
      <c r="A19" s="6"/>
      <c r="B19" s="20" t="s">
        <v>20</v>
      </c>
      <c r="C19" s="20" t="s">
        <v>20</v>
      </c>
      <c r="D19" s="5" t="s">
        <v>20</v>
      </c>
      <c r="E19" s="20" t="s">
        <v>52</v>
      </c>
      <c r="F19" s="5" t="s">
        <v>20</v>
      </c>
      <c r="G19" s="20" t="s">
        <v>9</v>
      </c>
      <c r="H19" s="20" t="s">
        <v>26</v>
      </c>
      <c r="L19" s="54"/>
      <c r="M19" s="35"/>
      <c r="N19" s="9"/>
      <c r="O19" s="6"/>
    </row>
    <row r="20" spans="1:15">
      <c r="A20" s="349" t="s">
        <v>173</v>
      </c>
      <c r="B20" s="81">
        <f t="shared" ref="B20:B31" si="0">IF(AND(H4&gt;0,J4&gt;0,I4&gt;0),(I4+M4),"Not Eligible")</f>
        <v>98.521126760563362</v>
      </c>
      <c r="C20" s="81">
        <f t="shared" ref="C20:C31" si="1">IF(AND(J4&gt;0,H4&gt;0,I4&gt;0),(B4+G4+C4),"Not Eligible")</f>
        <v>167.24342105263156</v>
      </c>
      <c r="D20" s="457">
        <f>(H4+'Lab Emissions'!K5)/MSRP!C7</f>
        <v>4.9824898349585964E-2</v>
      </c>
      <c r="E20" s="165">
        <f t="shared" ref="E20:E31" si="2">E4+M4</f>
        <v>114.75</v>
      </c>
      <c r="F20" s="457">
        <f>(F4+I4+M4+E4+L4)/MSRP!C7</f>
        <v>3.6268508605064496E-2</v>
      </c>
      <c r="G20" s="17">
        <f t="shared" ref="G20:G31" si="3">SUM(B4:O4)</f>
        <v>1337.685643931306</v>
      </c>
      <c r="H20" s="5">
        <f t="shared" ref="H20:H31" si="4">RANK(G20,$G$20:$G$31)</f>
        <v>1</v>
      </c>
      <c r="I20" s="166"/>
      <c r="L20" s="54"/>
      <c r="M20" s="35"/>
      <c r="N20" s="19"/>
      <c r="O20" s="6"/>
    </row>
    <row r="21" spans="1:15">
      <c r="A21" s="349" t="s">
        <v>174</v>
      </c>
      <c r="B21" s="81" t="str">
        <f t="shared" si="0"/>
        <v>Not Eligible</v>
      </c>
      <c r="C21" s="81" t="str">
        <f t="shared" si="1"/>
        <v>Not Eligible</v>
      </c>
      <c r="D21" s="457">
        <f>(H5+'Lab Emissions'!K6)/MSRP!C8</f>
        <v>2.354328193694653E-2</v>
      </c>
      <c r="E21" s="165">
        <f t="shared" si="2"/>
        <v>99.583333333333343</v>
      </c>
      <c r="F21" s="457">
        <f>(F5+I5+M5+E5+L5)/MSRP!C8</f>
        <v>2.635744556393568E-2</v>
      </c>
      <c r="G21" s="17">
        <f t="shared" si="3"/>
        <v>857.3002549843734</v>
      </c>
      <c r="H21" s="5">
        <f t="shared" si="4"/>
        <v>6</v>
      </c>
      <c r="I21" s="166"/>
      <c r="L21" s="54"/>
      <c r="M21" s="35"/>
      <c r="N21" s="19"/>
      <c r="O21" s="6"/>
    </row>
    <row r="22" spans="1:15">
      <c r="A22" s="349" t="s">
        <v>175</v>
      </c>
      <c r="B22" s="81">
        <f t="shared" si="0"/>
        <v>112.45109546165881</v>
      </c>
      <c r="C22" s="81">
        <f t="shared" si="1"/>
        <v>201.67045454545456</v>
      </c>
      <c r="D22" s="457">
        <f>(H6+'Lab Emissions'!K7)/MSRP!C9</f>
        <v>1.0488920255393145E-2</v>
      </c>
      <c r="E22" s="165">
        <f t="shared" si="2"/>
        <v>109.0972222222222</v>
      </c>
      <c r="F22" s="457">
        <f>(F6+I6+M6+E6+L6)/MSRP!C9</f>
        <v>1.4049760488084938E-2</v>
      </c>
      <c r="G22" s="17">
        <f t="shared" si="3"/>
        <v>670.93722072629987</v>
      </c>
      <c r="H22" s="5">
        <f t="shared" si="4"/>
        <v>7</v>
      </c>
      <c r="L22" s="54"/>
      <c r="M22" s="35"/>
      <c r="N22" s="19"/>
      <c r="O22" s="6"/>
    </row>
    <row r="23" spans="1:15" s="175" customFormat="1">
      <c r="A23" s="355" t="s">
        <v>176</v>
      </c>
      <c r="B23" s="278" t="str">
        <f t="shared" si="0"/>
        <v>Not Eligible</v>
      </c>
      <c r="C23" s="278" t="str">
        <f t="shared" si="1"/>
        <v>Not Eligible</v>
      </c>
      <c r="D23" s="457">
        <f>(H7+'Lab Emissions'!K8)/MSRP!C10</f>
        <v>0</v>
      </c>
      <c r="E23" s="165">
        <f t="shared" si="2"/>
        <v>0</v>
      </c>
      <c r="F23" s="457">
        <f>(F7+I7+M7+E7+L7)/MSRP!C10</f>
        <v>0</v>
      </c>
      <c r="G23" s="17">
        <f t="shared" si="3"/>
        <v>178.89230769230767</v>
      </c>
      <c r="H23" s="5">
        <f t="shared" si="4"/>
        <v>12</v>
      </c>
      <c r="J23" s="280"/>
      <c r="K23" s="264"/>
      <c r="L23" s="281"/>
      <c r="M23" s="278"/>
      <c r="N23" s="282"/>
      <c r="O23" s="269"/>
    </row>
    <row r="24" spans="1:15" s="175" customFormat="1">
      <c r="A24" s="349" t="s">
        <v>177</v>
      </c>
      <c r="B24" s="278">
        <f t="shared" si="0"/>
        <v>90.225938967136116</v>
      </c>
      <c r="C24" s="278">
        <f t="shared" si="1"/>
        <v>194.44583333333333</v>
      </c>
      <c r="D24" s="457">
        <f>(H8+'Lab Emissions'!K9)/MSRP!C11</f>
        <v>1.2628225971225964E-2</v>
      </c>
      <c r="E24" s="165">
        <f t="shared" si="2"/>
        <v>87.083333333333314</v>
      </c>
      <c r="F24" s="457">
        <f>(F8+I8+M8+E8+L8)/MSRP!C11</f>
        <v>2.7267140850243784E-2</v>
      </c>
      <c r="G24" s="17">
        <f t="shared" si="3"/>
        <v>986.65802315485962</v>
      </c>
      <c r="H24" s="5">
        <f t="shared" si="4"/>
        <v>3</v>
      </c>
      <c r="J24" s="280"/>
      <c r="K24" s="264"/>
      <c r="L24" s="281"/>
      <c r="M24" s="278"/>
      <c r="N24" s="282"/>
      <c r="O24" s="269"/>
    </row>
    <row r="25" spans="1:15" ht="15">
      <c r="A25" s="356" t="s">
        <v>178</v>
      </c>
      <c r="B25" s="81">
        <f t="shared" si="0"/>
        <v>105.58392018779338</v>
      </c>
      <c r="C25" s="81">
        <f t="shared" si="1"/>
        <v>196.98398169336383</v>
      </c>
      <c r="D25" s="457">
        <f>(H9+'Lab Emissions'!K10)/MSRP!C12</f>
        <v>2.4487834336454108E-2</v>
      </c>
      <c r="E25" s="165">
        <f t="shared" si="2"/>
        <v>103.91666666666663</v>
      </c>
      <c r="F25" s="457">
        <f>(F9+I9+M9+E9+L9)/MSRP!C12</f>
        <v>2.3134298871172534E-2</v>
      </c>
      <c r="G25" s="17">
        <f t="shared" si="3"/>
        <v>868.61526893687846</v>
      </c>
      <c r="H25" s="5">
        <f t="shared" si="4"/>
        <v>5</v>
      </c>
      <c r="L25" s="54"/>
      <c r="M25" s="35"/>
      <c r="N25" s="19"/>
      <c r="O25" s="6"/>
    </row>
    <row r="26" spans="1:15">
      <c r="A26" s="355" t="s">
        <v>179</v>
      </c>
      <c r="B26" s="81">
        <f t="shared" si="0"/>
        <v>105.88321596244128</v>
      </c>
      <c r="C26" s="81">
        <f t="shared" si="1"/>
        <v>168.67391304347825</v>
      </c>
      <c r="D26" s="457">
        <f>(H10+'Lab Emissions'!K11)/MSRP!C13</f>
        <v>3.7121869471244688E-3</v>
      </c>
      <c r="E26" s="165">
        <f t="shared" si="2"/>
        <v>101.29166666666666</v>
      </c>
      <c r="F26" s="457">
        <f>(F10+I10+M10+E10+L10)/MSRP!C13</f>
        <v>1.5442152036653375E-2</v>
      </c>
      <c r="G26" s="17">
        <f t="shared" si="3"/>
        <v>448.11172773238252</v>
      </c>
      <c r="H26" s="5">
        <f t="shared" si="4"/>
        <v>9</v>
      </c>
      <c r="L26" s="54"/>
      <c r="M26" s="35"/>
      <c r="N26" s="19"/>
      <c r="O26" s="6"/>
    </row>
    <row r="27" spans="1:15" ht="15">
      <c r="A27" s="356" t="s">
        <v>180</v>
      </c>
      <c r="B27" s="81" t="str">
        <f t="shared" si="0"/>
        <v>Not Eligible</v>
      </c>
      <c r="C27" s="81" t="str">
        <f t="shared" si="1"/>
        <v>Not Eligible</v>
      </c>
      <c r="D27" s="457">
        <f>(H11+'Lab Emissions'!K12)/MSRP!C14</f>
        <v>1.1918247546858515E-2</v>
      </c>
      <c r="E27" s="165">
        <f t="shared" si="2"/>
        <v>90.597222222222229</v>
      </c>
      <c r="F27" s="457">
        <f>(F11+I11+M11+E11+L11)/MSRP!C14</f>
        <v>8.3483014655784931E-3</v>
      </c>
      <c r="G27" s="17">
        <f t="shared" si="3"/>
        <v>474.61269192905371</v>
      </c>
      <c r="H27" s="5">
        <f t="shared" si="4"/>
        <v>8</v>
      </c>
      <c r="L27" s="54"/>
      <c r="M27" s="35"/>
      <c r="N27" s="19"/>
      <c r="O27" s="6"/>
    </row>
    <row r="28" spans="1:15" ht="15">
      <c r="A28" s="356" t="s">
        <v>181</v>
      </c>
      <c r="B28" s="81">
        <f t="shared" si="0"/>
        <v>34.084507042253506</v>
      </c>
      <c r="C28" s="81">
        <f t="shared" si="1"/>
        <v>171.5</v>
      </c>
      <c r="D28" s="457">
        <f>(H12+'Lab Emissions'!K13)/MSRP!C15</f>
        <v>4.9701363883675583E-2</v>
      </c>
      <c r="E28" s="165">
        <f t="shared" si="2"/>
        <v>38.4375</v>
      </c>
      <c r="F28" s="457">
        <f>(F12+I12+M12+E12+L12)/MSRP!C15</f>
        <v>1.0700247506176952E-2</v>
      </c>
      <c r="G28" s="17">
        <f t="shared" si="3"/>
        <v>1017.7631147772508</v>
      </c>
      <c r="H28" s="5">
        <f t="shared" si="4"/>
        <v>2</v>
      </c>
      <c r="L28" s="54"/>
      <c r="M28" s="35"/>
      <c r="N28" s="19"/>
      <c r="O28" s="6"/>
    </row>
    <row r="29" spans="1:15" ht="15">
      <c r="A29" s="356" t="s">
        <v>182</v>
      </c>
      <c r="B29" s="81">
        <f t="shared" si="0"/>
        <v>60.689553990610335</v>
      </c>
      <c r="C29" s="81">
        <f t="shared" si="1"/>
        <v>206.57631578947368</v>
      </c>
      <c r="D29" s="457">
        <f>(H13+'Lab Emissions'!K14)/MSRP!C16</f>
        <v>2.4449974953684193E-2</v>
      </c>
      <c r="E29" s="165">
        <f t="shared" si="2"/>
        <v>60.541666666666686</v>
      </c>
      <c r="F29" s="457">
        <f>(F13+I13+M13+E13+L13)/MSRP!C16</f>
        <v>1.1544328320673175E-2</v>
      </c>
      <c r="G29" s="17">
        <f t="shared" si="3"/>
        <v>894.3046302889768</v>
      </c>
      <c r="H29" s="5">
        <f t="shared" si="4"/>
        <v>4</v>
      </c>
      <c r="L29" s="54"/>
      <c r="M29" s="35"/>
      <c r="N29" s="19"/>
      <c r="O29" s="6"/>
    </row>
    <row r="30" spans="1:15" ht="15">
      <c r="A30" s="356" t="s">
        <v>183</v>
      </c>
      <c r="B30" s="81" t="str">
        <f t="shared" si="0"/>
        <v>Not Eligible</v>
      </c>
      <c r="C30" s="81" t="str">
        <f t="shared" si="1"/>
        <v>Not Eligible</v>
      </c>
      <c r="D30" s="457">
        <f>(H14+'Lab Emissions'!K15)/MSRP!C17</f>
        <v>0</v>
      </c>
      <c r="E30" s="165">
        <f t="shared" si="2"/>
        <v>53.124999999999972</v>
      </c>
      <c r="F30" s="457">
        <f>(F14+I14+M14+E14+L14)/MSRP!C17</f>
        <v>7.1831074209771093E-3</v>
      </c>
      <c r="G30" s="17">
        <f t="shared" si="3"/>
        <v>277.60111628777975</v>
      </c>
      <c r="H30" s="5">
        <f t="shared" si="4"/>
        <v>10</v>
      </c>
      <c r="L30" s="54"/>
      <c r="M30" s="35"/>
      <c r="N30" s="19"/>
      <c r="O30" s="6"/>
    </row>
    <row r="31" spans="1:15" ht="15">
      <c r="A31" s="356" t="s">
        <v>184</v>
      </c>
      <c r="B31" s="81" t="str">
        <f t="shared" si="0"/>
        <v>Not Eligible</v>
      </c>
      <c r="C31" s="81" t="str">
        <f t="shared" si="1"/>
        <v>Not Eligible</v>
      </c>
      <c r="D31" s="457">
        <f>(H15+'Lab Emissions'!K16)/MSRP!C18</f>
        <v>0</v>
      </c>
      <c r="E31" s="165">
        <f t="shared" si="2"/>
        <v>0</v>
      </c>
      <c r="F31" s="457">
        <f>(F15+I15+M15+E15+L15)/MSRP!C18</f>
        <v>0</v>
      </c>
      <c r="G31" s="17">
        <f t="shared" si="3"/>
        <v>182.97922644973059</v>
      </c>
      <c r="H31" s="5">
        <f t="shared" si="4"/>
        <v>11</v>
      </c>
      <c r="L31" s="54"/>
      <c r="M31" s="35"/>
      <c r="N31" s="19"/>
      <c r="O31" s="6"/>
    </row>
    <row r="32" spans="1:15" s="67" customFormat="1">
      <c r="A32" s="130"/>
      <c r="B32" s="193"/>
      <c r="C32" s="193"/>
      <c r="D32" s="194"/>
      <c r="E32" s="194"/>
      <c r="F32" s="194"/>
      <c r="G32" s="191"/>
      <c r="H32" s="195"/>
      <c r="I32" s="68"/>
      <c r="J32" s="37"/>
      <c r="K32" s="135"/>
      <c r="L32" s="68"/>
      <c r="M32" s="68"/>
      <c r="N32" s="68"/>
      <c r="O32" s="38"/>
    </row>
    <row r="33" spans="1:15" s="67" customFormat="1">
      <c r="A33" s="130"/>
      <c r="B33" s="278">
        <f>MAX(B20:B31)</f>
        <v>112.45109546165881</v>
      </c>
      <c r="C33" s="278">
        <f>MAX(C20:C31)</f>
        <v>206.57631578947368</v>
      </c>
      <c r="D33" s="451">
        <f>MAX(D20:D31)</f>
        <v>4.9824898349585964E-2</v>
      </c>
      <c r="E33" s="451">
        <f>MAX(E20:E31)</f>
        <v>114.75</v>
      </c>
      <c r="F33" s="451">
        <f>MAX(F20:F31)</f>
        <v>3.6268508605064496E-2</v>
      </c>
      <c r="G33" s="191"/>
      <c r="H33" s="195"/>
      <c r="I33" s="68"/>
      <c r="J33" s="37"/>
      <c r="K33" s="135"/>
      <c r="L33" s="68"/>
      <c r="M33" s="68"/>
      <c r="N33" s="68"/>
      <c r="O33" s="38"/>
    </row>
    <row r="34" spans="1:15" s="67" customFormat="1">
      <c r="C34" s="169"/>
      <c r="F34" s="81"/>
      <c r="G34" s="37"/>
      <c r="H34" s="68"/>
      <c r="I34" s="68"/>
      <c r="J34" s="37"/>
      <c r="K34" s="135"/>
      <c r="L34" s="68"/>
      <c r="M34" s="68"/>
      <c r="N34" s="68"/>
      <c r="O34" s="38"/>
    </row>
    <row r="35" spans="1:15" s="67" customFormat="1" ht="15">
      <c r="A35" s="452" t="s">
        <v>137</v>
      </c>
      <c r="B35" s="467" t="s">
        <v>173</v>
      </c>
      <c r="C35" s="468"/>
      <c r="D35" s="468"/>
      <c r="E35" s="80"/>
      <c r="F35" s="81"/>
      <c r="G35" s="37"/>
      <c r="H35" s="68"/>
      <c r="I35" s="38"/>
      <c r="J35" s="210"/>
      <c r="K35" s="135"/>
      <c r="L35" s="38"/>
      <c r="M35" s="38"/>
      <c r="N35" s="38"/>
      <c r="O35" s="38"/>
    </row>
    <row r="36" spans="1:15" s="67" customFormat="1" ht="28.9" customHeight="1">
      <c r="A36" s="452" t="s">
        <v>138</v>
      </c>
      <c r="B36" s="469" t="s">
        <v>181</v>
      </c>
      <c r="C36" s="470"/>
      <c r="D36" s="470"/>
      <c r="E36" s="80"/>
      <c r="F36" s="81"/>
      <c r="G36" s="37"/>
      <c r="H36" s="68"/>
      <c r="I36" s="38"/>
      <c r="J36" s="210"/>
      <c r="K36" s="135"/>
      <c r="L36" s="38"/>
      <c r="M36" s="38"/>
      <c r="N36" s="38"/>
      <c r="O36" s="38"/>
    </row>
    <row r="37" spans="1:15" s="67" customFormat="1" ht="39.6" customHeight="1">
      <c r="A37" s="452" t="s">
        <v>139</v>
      </c>
      <c r="B37" s="458" t="s">
        <v>177</v>
      </c>
      <c r="C37" s="459"/>
      <c r="D37" s="459"/>
      <c r="E37" s="80"/>
      <c r="F37" s="81"/>
      <c r="G37" s="37"/>
      <c r="H37" s="68"/>
      <c r="I37" s="38"/>
      <c r="J37" s="210"/>
      <c r="K37" s="135"/>
      <c r="L37" s="38"/>
      <c r="M37" s="38"/>
      <c r="N37" s="38"/>
      <c r="O37" s="38"/>
    </row>
    <row r="38" spans="1:15" s="67" customFormat="1" ht="14.45" customHeight="1">
      <c r="A38" s="452" t="s">
        <v>185</v>
      </c>
      <c r="B38" s="465" t="s">
        <v>175</v>
      </c>
      <c r="C38" s="466"/>
      <c r="D38" s="466"/>
      <c r="E38" s="80"/>
      <c r="F38" s="81"/>
      <c r="G38" s="38"/>
      <c r="H38" s="38"/>
      <c r="I38" s="38"/>
      <c r="J38" s="210"/>
      <c r="K38" s="135"/>
      <c r="L38" s="38"/>
      <c r="M38" s="38"/>
      <c r="N38" s="38"/>
      <c r="O38" s="38"/>
    </row>
    <row r="39" spans="1:15" s="67" customFormat="1" ht="14.45" customHeight="1">
      <c r="A39" s="452" t="s">
        <v>73</v>
      </c>
      <c r="B39" s="465" t="s">
        <v>173</v>
      </c>
      <c r="C39" s="466"/>
      <c r="D39" s="466"/>
      <c r="E39" s="80"/>
      <c r="F39" s="81"/>
      <c r="G39" s="38"/>
      <c r="H39" s="38"/>
      <c r="I39" s="38"/>
      <c r="J39" s="210"/>
      <c r="K39" s="135"/>
      <c r="L39" s="38"/>
      <c r="M39" s="38"/>
      <c r="N39" s="38"/>
      <c r="O39" s="38"/>
    </row>
    <row r="40" spans="1:15" s="67" customFormat="1" ht="14.45" customHeight="1">
      <c r="A40" s="452" t="s">
        <v>95</v>
      </c>
      <c r="B40" s="454" t="s">
        <v>174</v>
      </c>
      <c r="C40" s="455"/>
      <c r="D40" s="456"/>
      <c r="E40" s="80"/>
      <c r="F40" s="81"/>
      <c r="G40" s="38"/>
      <c r="H40" s="38"/>
      <c r="I40" s="38"/>
      <c r="J40" s="210"/>
      <c r="K40" s="135"/>
      <c r="L40" s="38"/>
      <c r="M40" s="38"/>
      <c r="N40" s="38"/>
      <c r="O40" s="38"/>
    </row>
    <row r="41" spans="1:15" ht="14.45" customHeight="1">
      <c r="A41" s="453" t="s">
        <v>96</v>
      </c>
      <c r="B41" s="465" t="s">
        <v>182</v>
      </c>
      <c r="C41" s="466"/>
      <c r="D41" s="466"/>
      <c r="E41" s="80"/>
      <c r="F41" s="81"/>
    </row>
    <row r="42" spans="1:15" s="67" customFormat="1" ht="14.45" customHeight="1">
      <c r="A42" s="452" t="s">
        <v>74</v>
      </c>
      <c r="B42" s="465" t="s">
        <v>244</v>
      </c>
      <c r="C42" s="471"/>
      <c r="D42" s="471"/>
      <c r="E42" s="471"/>
      <c r="F42" s="471"/>
      <c r="G42" s="464"/>
      <c r="H42" s="38"/>
      <c r="I42" s="38"/>
      <c r="J42" s="210"/>
      <c r="K42" s="135"/>
      <c r="L42" s="38"/>
      <c r="M42" s="38"/>
      <c r="N42" s="38"/>
      <c r="O42" s="38"/>
    </row>
    <row r="43" spans="1:15" s="67" customFormat="1" ht="14.45" customHeight="1">
      <c r="A43" s="452" t="s">
        <v>75</v>
      </c>
      <c r="B43" s="465" t="s">
        <v>177</v>
      </c>
      <c r="C43" s="466"/>
      <c r="D43" s="466"/>
      <c r="E43" s="80"/>
      <c r="F43" s="81"/>
      <c r="G43" s="38"/>
      <c r="H43" s="38"/>
      <c r="I43" s="38"/>
      <c r="J43" s="210"/>
      <c r="K43" s="135"/>
      <c r="L43" s="38"/>
      <c r="M43" s="38"/>
      <c r="N43" s="38"/>
      <c r="O43" s="38"/>
    </row>
    <row r="44" spans="1:15" s="67" customFormat="1" ht="14.45" customHeight="1">
      <c r="A44" s="452" t="s">
        <v>186</v>
      </c>
      <c r="B44" s="465" t="s">
        <v>173</v>
      </c>
      <c r="C44" s="466"/>
      <c r="D44" s="466"/>
      <c r="E44" s="80"/>
      <c r="F44" s="81"/>
      <c r="G44" s="38"/>
      <c r="H44" s="38"/>
      <c r="I44" s="38"/>
      <c r="J44" s="210"/>
      <c r="K44" s="135"/>
      <c r="L44" s="38"/>
      <c r="M44" s="38"/>
      <c r="N44" s="38"/>
      <c r="O44" s="38"/>
    </row>
    <row r="45" spans="1:15" ht="14.45" customHeight="1">
      <c r="A45" s="79" t="s">
        <v>76</v>
      </c>
      <c r="B45" s="465" t="s">
        <v>173</v>
      </c>
      <c r="C45" s="466"/>
      <c r="D45" s="466"/>
      <c r="E45" s="80"/>
      <c r="F45" s="81"/>
      <c r="G45" s="38"/>
      <c r="H45" s="38"/>
      <c r="I45" s="6"/>
      <c r="J45" s="208"/>
      <c r="K45" s="18"/>
      <c r="L45" s="6"/>
      <c r="M45" s="6"/>
      <c r="N45" s="6"/>
      <c r="O45" s="6"/>
    </row>
    <row r="46" spans="1:15" ht="14.45" customHeight="1">
      <c r="A46" s="79" t="s">
        <v>77</v>
      </c>
      <c r="B46" s="465" t="s">
        <v>173</v>
      </c>
      <c r="C46" s="466"/>
      <c r="D46" s="466"/>
      <c r="E46" s="80"/>
      <c r="F46" s="81"/>
      <c r="G46" s="38"/>
      <c r="H46" s="38"/>
    </row>
    <row r="47" spans="1:15" ht="28.9" customHeight="1">
      <c r="A47" s="212" t="s">
        <v>82</v>
      </c>
      <c r="B47" s="458" t="s">
        <v>183</v>
      </c>
      <c r="C47" s="459"/>
      <c r="D47" s="27"/>
      <c r="E47" s="80"/>
      <c r="F47" s="81"/>
      <c r="G47" s="6"/>
      <c r="H47" s="6"/>
    </row>
    <row r="48" spans="1:15" ht="15">
      <c r="A48" s="212" t="s">
        <v>78</v>
      </c>
      <c r="B48" s="465" t="s">
        <v>173</v>
      </c>
      <c r="C48" s="466"/>
      <c r="D48" s="466"/>
      <c r="E48" s="80"/>
      <c r="F48" s="81"/>
    </row>
    <row r="49" spans="1:11" ht="15">
      <c r="A49" s="461" t="s">
        <v>141</v>
      </c>
      <c r="B49" s="460" t="s">
        <v>243</v>
      </c>
      <c r="C49" s="17"/>
      <c r="D49" s="27"/>
      <c r="E49" s="80"/>
      <c r="F49" s="81"/>
    </row>
    <row r="50" spans="1:11" ht="15">
      <c r="A50" s="462" t="s">
        <v>142</v>
      </c>
      <c r="B50" s="460" t="s">
        <v>243</v>
      </c>
      <c r="C50" s="17"/>
      <c r="D50" s="27"/>
      <c r="E50" s="80"/>
      <c r="F50" s="81"/>
    </row>
    <row r="51" spans="1:11" ht="15">
      <c r="A51" s="462" t="s">
        <v>128</v>
      </c>
      <c r="B51" s="460" t="s">
        <v>241</v>
      </c>
      <c r="C51" s="17"/>
      <c r="D51" s="27"/>
      <c r="E51" s="80"/>
      <c r="F51" s="81"/>
    </row>
    <row r="52" spans="1:11" ht="15">
      <c r="A52" s="461" t="s">
        <v>127</v>
      </c>
      <c r="B52" s="460" t="s">
        <v>242</v>
      </c>
      <c r="C52" s="17"/>
      <c r="D52" s="27"/>
      <c r="E52" s="80"/>
      <c r="F52" s="81"/>
    </row>
    <row r="53" spans="1:11" ht="15">
      <c r="A53" s="462" t="s">
        <v>140</v>
      </c>
      <c r="B53" s="465" t="s">
        <v>182</v>
      </c>
      <c r="C53" s="466"/>
      <c r="D53" s="466"/>
      <c r="E53" s="80"/>
      <c r="F53" s="81"/>
    </row>
    <row r="54" spans="1:11" ht="15">
      <c r="A54" s="462" t="s">
        <v>187</v>
      </c>
      <c r="B54" s="460" t="str">
        <f>A30</f>
        <v xml:space="preserve">#12 Univ of Waterloo </v>
      </c>
      <c r="C54" s="17"/>
      <c r="D54" s="27"/>
      <c r="E54" s="80"/>
      <c r="F54" s="81"/>
    </row>
    <row r="55" spans="1:11" ht="15">
      <c r="A55" s="463"/>
      <c r="B55" s="439"/>
      <c r="C55" s="17"/>
      <c r="D55" s="27"/>
      <c r="E55" s="80"/>
      <c r="F55" s="81"/>
    </row>
    <row r="56" spans="1:11" ht="15">
      <c r="A56" s="357"/>
      <c r="B56" s="439"/>
      <c r="C56" s="17"/>
      <c r="D56" s="27"/>
      <c r="E56" s="80"/>
      <c r="F56" s="81"/>
    </row>
    <row r="57" spans="1:11" s="1" customFormat="1" ht="15">
      <c r="A57" s="376"/>
      <c r="B57" s="439"/>
      <c r="C57" s="17"/>
      <c r="D57" s="27"/>
      <c r="E57" s="80"/>
      <c r="F57" s="81"/>
      <c r="J57" s="213"/>
      <c r="K57" s="61"/>
    </row>
    <row r="58" spans="1:11" s="1" customFormat="1">
      <c r="A58" s="214"/>
      <c r="B58" s="440"/>
      <c r="C58" s="441"/>
      <c r="J58" s="213"/>
      <c r="K58" s="61"/>
    </row>
    <row r="59" spans="1:11" s="1" customFormat="1">
      <c r="A59" s="214"/>
      <c r="C59" s="61"/>
      <c r="J59" s="213"/>
      <c r="K59" s="61"/>
    </row>
    <row r="60" spans="1:11" s="1" customFormat="1">
      <c r="A60" s="214"/>
      <c r="C60" s="61"/>
      <c r="J60" s="213"/>
      <c r="K60" s="61"/>
    </row>
    <row r="61" spans="1:11" s="1" customFormat="1">
      <c r="A61" s="214"/>
      <c r="C61" s="61"/>
      <c r="J61" s="213"/>
      <c r="K61" s="61"/>
    </row>
    <row r="62" spans="1:11" s="1" customFormat="1">
      <c r="A62" s="214"/>
      <c r="C62" s="61"/>
      <c r="J62" s="213"/>
      <c r="K62" s="61"/>
    </row>
    <row r="63" spans="1:11" s="1" customFormat="1">
      <c r="A63" s="214"/>
      <c r="C63" s="61"/>
      <c r="J63" s="213"/>
      <c r="K63" s="61"/>
    </row>
    <row r="64" spans="1:11" s="1" customFormat="1">
      <c r="A64" s="214"/>
      <c r="C64" s="61"/>
      <c r="J64" s="213"/>
      <c r="K64" s="61"/>
    </row>
  </sheetData>
  <mergeCells count="12">
    <mergeCell ref="B48:D48"/>
    <mergeCell ref="B46:D46"/>
    <mergeCell ref="B53:D53"/>
    <mergeCell ref="B35:D35"/>
    <mergeCell ref="B36:D36"/>
    <mergeCell ref="B38:D38"/>
    <mergeCell ref="B39:D39"/>
    <mergeCell ref="B45:D45"/>
    <mergeCell ref="B41:D41"/>
    <mergeCell ref="B43:D43"/>
    <mergeCell ref="B44:D44"/>
    <mergeCell ref="B42:F42"/>
  </mergeCells>
  <phoneticPr fontId="22" type="noConversion"/>
  <printOptions gridLines="1"/>
  <pageMargins left="0.75" right="0.75" top="1" bottom="1" header="0.5" footer="0.5"/>
  <pageSetup scale="54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6"/>
  <sheetViews>
    <sheetView workbookViewId="0">
      <selection activeCell="F16" sqref="F16"/>
    </sheetView>
  </sheetViews>
  <sheetFormatPr defaultRowHeight="12.75"/>
  <cols>
    <col min="1" max="1" width="40.85546875" customWidth="1"/>
    <col min="2" max="2" width="11.28515625" style="350" customWidth="1"/>
    <col min="3" max="3" width="12.5703125" style="350" customWidth="1"/>
    <col min="4" max="4" width="8.5703125" style="350" customWidth="1"/>
    <col min="5" max="5" width="12.42578125" style="350" customWidth="1"/>
    <col min="6" max="6" width="10.7109375" style="350" customWidth="1"/>
    <col min="7" max="8" width="12.42578125" style="350" customWidth="1"/>
    <col min="9" max="9" width="9.28515625" customWidth="1"/>
    <col min="10" max="10" width="9.28515625" style="427" customWidth="1"/>
    <col min="11" max="11" width="7.140625" customWidth="1"/>
    <col min="13" max="13" width="10" customWidth="1"/>
    <col min="14" max="14" width="8.7109375" style="3" customWidth="1"/>
    <col min="15" max="15" width="10.7109375" style="3" customWidth="1"/>
    <col min="16" max="16" width="8.7109375" style="3" customWidth="1"/>
    <col min="17" max="17" width="3" style="3" customWidth="1"/>
    <col min="18" max="24" width="8.7109375" style="41" customWidth="1"/>
    <col min="25" max="25" width="10" style="41" customWidth="1"/>
    <col min="26" max="27" width="8.7109375" style="41" customWidth="1"/>
    <col min="28" max="28" width="8.7109375" customWidth="1"/>
    <col min="29" max="29" width="2.140625" customWidth="1"/>
    <col min="30" max="30" width="16.28515625" style="3" customWidth="1"/>
    <col min="31" max="31" width="12.7109375" style="3" customWidth="1"/>
    <col min="32" max="35" width="8.7109375" customWidth="1"/>
  </cols>
  <sheetData>
    <row r="1" spans="1:37" ht="19.5" thickBot="1">
      <c r="A1" s="119" t="s">
        <v>212</v>
      </c>
      <c r="B1" s="7"/>
      <c r="C1" s="269"/>
      <c r="D1" s="269"/>
      <c r="E1" s="269"/>
      <c r="F1" s="269"/>
      <c r="G1" s="269"/>
      <c r="H1" s="269"/>
      <c r="I1" s="21"/>
      <c r="J1" s="416" t="s">
        <v>103</v>
      </c>
      <c r="K1" s="226"/>
      <c r="L1" s="226"/>
      <c r="M1" s="21"/>
      <c r="N1" s="225" t="s">
        <v>104</v>
      </c>
      <c r="O1" s="226"/>
      <c r="P1" s="226"/>
      <c r="Q1" s="28"/>
      <c r="R1" s="120"/>
      <c r="S1" s="84"/>
      <c r="T1" s="85"/>
      <c r="U1" s="85"/>
      <c r="V1" s="85"/>
      <c r="W1" s="85"/>
      <c r="X1" s="85"/>
      <c r="Y1" s="85"/>
      <c r="Z1" s="85"/>
      <c r="AA1" s="85"/>
      <c r="AB1" s="86"/>
      <c r="AC1" s="87"/>
      <c r="AD1" s="88"/>
      <c r="AE1" s="61"/>
      <c r="AF1" s="1"/>
      <c r="AG1" s="1"/>
      <c r="AH1" s="1"/>
    </row>
    <row r="2" spans="1:37" ht="19.5" thickBot="1">
      <c r="A2" s="119"/>
      <c r="B2" s="7"/>
      <c r="C2" s="269"/>
      <c r="D2" s="269"/>
      <c r="E2" s="269"/>
      <c r="F2" s="269"/>
      <c r="G2" s="269"/>
      <c r="H2" s="287"/>
      <c r="I2" s="24"/>
      <c r="J2" s="417" t="s">
        <v>105</v>
      </c>
      <c r="K2" s="227"/>
      <c r="L2" s="228"/>
      <c r="M2" s="21"/>
      <c r="N2" s="229" t="s">
        <v>106</v>
      </c>
      <c r="O2" s="227"/>
      <c r="P2" s="228"/>
      <c r="Q2" s="52"/>
      <c r="R2" s="122"/>
      <c r="S2" s="91"/>
      <c r="T2" s="91"/>
      <c r="U2" s="85"/>
      <c r="V2" s="85"/>
      <c r="W2" s="85"/>
      <c r="X2" s="85"/>
      <c r="Y2" s="85"/>
      <c r="Z2" s="85"/>
      <c r="AA2" s="85"/>
      <c r="AB2" s="86"/>
      <c r="AC2" s="87"/>
      <c r="AD2" s="88"/>
      <c r="AE2" s="61"/>
      <c r="AF2" s="1"/>
      <c r="AG2" s="1"/>
      <c r="AH2" s="1"/>
    </row>
    <row r="3" spans="1:37">
      <c r="A3" s="79"/>
      <c r="B3" s="65"/>
      <c r="C3" s="287"/>
      <c r="D3" s="287"/>
      <c r="E3" s="287"/>
      <c r="F3" s="287"/>
      <c r="G3" s="287"/>
      <c r="J3" s="418"/>
      <c r="K3" s="24"/>
      <c r="L3" s="230"/>
      <c r="M3" s="24"/>
      <c r="N3" s="231"/>
      <c r="O3" s="24"/>
      <c r="P3" s="230"/>
      <c r="Q3" s="23"/>
      <c r="R3" s="123"/>
      <c r="S3" s="93"/>
      <c r="T3" s="91"/>
      <c r="U3" s="85"/>
      <c r="V3" s="85"/>
      <c r="W3" s="85"/>
      <c r="X3" s="85"/>
      <c r="Y3" s="85"/>
      <c r="Z3" s="85"/>
      <c r="AA3" s="85"/>
      <c r="AB3" s="86"/>
      <c r="AC3" s="87"/>
      <c r="AD3" s="88"/>
      <c r="AE3" s="61"/>
      <c r="AF3" s="1"/>
      <c r="AG3" s="1"/>
      <c r="AH3" s="1"/>
    </row>
    <row r="4" spans="1:37" ht="51">
      <c r="A4" s="232" t="s">
        <v>107</v>
      </c>
      <c r="B4" s="232" t="s">
        <v>108</v>
      </c>
      <c r="C4" s="233" t="s">
        <v>109</v>
      </c>
      <c r="D4" s="233" t="s">
        <v>110</v>
      </c>
      <c r="E4" s="233" t="s">
        <v>111</v>
      </c>
      <c r="F4" s="233" t="s">
        <v>112</v>
      </c>
      <c r="G4" s="234" t="s">
        <v>143</v>
      </c>
      <c r="H4" s="233" t="s">
        <v>113</v>
      </c>
      <c r="I4" s="235"/>
      <c r="J4" s="419" t="s">
        <v>114</v>
      </c>
      <c r="K4" s="234" t="s">
        <v>115</v>
      </c>
      <c r="L4" s="237" t="s">
        <v>116</v>
      </c>
      <c r="M4" s="238"/>
      <c r="N4" s="236" t="s">
        <v>117</v>
      </c>
      <c r="O4" s="234" t="s">
        <v>126</v>
      </c>
      <c r="P4" s="237" t="s">
        <v>93</v>
      </c>
      <c r="Q4" s="23"/>
      <c r="R4" s="123"/>
      <c r="S4" s="93"/>
      <c r="T4" s="91"/>
      <c r="U4" s="85"/>
      <c r="V4" s="85"/>
      <c r="W4" s="85"/>
      <c r="X4" s="85"/>
      <c r="Y4" s="85"/>
      <c r="Z4" s="85"/>
      <c r="AA4" s="85"/>
      <c r="AB4" s="86"/>
      <c r="AC4" s="87"/>
      <c r="AD4" s="88"/>
      <c r="AE4" s="61"/>
      <c r="AF4" s="1"/>
      <c r="AG4" s="1"/>
      <c r="AH4" s="1"/>
    </row>
    <row r="5" spans="1:37" ht="15">
      <c r="A5" s="349" t="s">
        <v>173</v>
      </c>
      <c r="B5" s="350" t="s">
        <v>61</v>
      </c>
      <c r="C5" s="350" t="s">
        <v>61</v>
      </c>
      <c r="D5" s="350" t="s">
        <v>61</v>
      </c>
      <c r="E5" s="350" t="s">
        <v>61</v>
      </c>
      <c r="F5" s="350" t="s">
        <v>61</v>
      </c>
      <c r="G5" s="350" t="s">
        <v>61</v>
      </c>
      <c r="H5" s="350" t="s">
        <v>61</v>
      </c>
      <c r="I5" s="448"/>
      <c r="J5" s="420">
        <v>183.23</v>
      </c>
      <c r="K5" s="318">
        <v>223</v>
      </c>
      <c r="L5" s="239">
        <f t="shared" ref="L5:L14" si="0">RANK(K5,K$5:K$16)</f>
        <v>3</v>
      </c>
      <c r="M5" s="240"/>
      <c r="N5" s="420">
        <v>357.04</v>
      </c>
      <c r="O5" s="428">
        <v>36.08</v>
      </c>
      <c r="P5" s="239">
        <f t="shared" ref="P5:P14" si="1">RANK(O5,O$5:O$16)</f>
        <v>3</v>
      </c>
      <c r="Q5" s="28"/>
      <c r="R5" s="299">
        <f>K5+O5</f>
        <v>259.08</v>
      </c>
      <c r="S5" s="84"/>
      <c r="T5" s="84"/>
      <c r="U5" s="84"/>
      <c r="V5" s="84"/>
      <c r="W5" s="84"/>
      <c r="X5" s="84"/>
      <c r="Y5" s="84"/>
      <c r="Z5" s="84"/>
      <c r="AA5" s="84"/>
      <c r="AB5" s="83"/>
      <c r="AC5" s="94"/>
      <c r="AD5" s="95"/>
    </row>
    <row r="6" spans="1:37" ht="15">
      <c r="A6" s="349" t="s">
        <v>174</v>
      </c>
      <c r="B6" s="350" t="s">
        <v>61</v>
      </c>
      <c r="C6" s="350" t="s">
        <v>61</v>
      </c>
      <c r="D6" s="350" t="s">
        <v>61</v>
      </c>
      <c r="E6" s="350" t="s">
        <v>61</v>
      </c>
      <c r="F6" s="350" t="s">
        <v>61</v>
      </c>
      <c r="G6" s="350" t="s">
        <v>61</v>
      </c>
      <c r="H6" s="350" t="s">
        <v>61</v>
      </c>
      <c r="I6" s="448"/>
      <c r="J6" s="420">
        <v>207.15</v>
      </c>
      <c r="K6" s="318">
        <v>300.74</v>
      </c>
      <c r="L6" s="239">
        <f t="shared" si="0"/>
        <v>1</v>
      </c>
      <c r="M6" s="240"/>
      <c r="N6" s="420">
        <v>368.95</v>
      </c>
      <c r="O6" s="428">
        <v>34.090000000000003</v>
      </c>
      <c r="P6" s="239">
        <f t="shared" si="1"/>
        <v>4</v>
      </c>
      <c r="Q6" s="28"/>
      <c r="R6" s="299">
        <f t="shared" ref="R6:R14" si="2">K6+O6</f>
        <v>334.83000000000004</v>
      </c>
      <c r="S6" s="84"/>
      <c r="T6" s="84"/>
      <c r="U6" s="84"/>
      <c r="V6" s="84"/>
      <c r="W6" s="84"/>
      <c r="X6" s="84"/>
      <c r="Y6" s="84"/>
      <c r="Z6" s="84"/>
      <c r="AA6" s="84"/>
      <c r="AB6" s="83"/>
      <c r="AC6" s="94"/>
      <c r="AD6" s="95"/>
      <c r="AJ6" s="31"/>
      <c r="AK6" s="31"/>
    </row>
    <row r="7" spans="1:37" ht="15">
      <c r="A7" s="349" t="s">
        <v>175</v>
      </c>
      <c r="B7" s="350" t="s">
        <v>61</v>
      </c>
      <c r="C7" s="350" t="s">
        <v>61</v>
      </c>
      <c r="D7" s="350" t="s">
        <v>61</v>
      </c>
      <c r="E7" s="350" t="s">
        <v>61</v>
      </c>
      <c r="F7" s="350" t="s">
        <v>61</v>
      </c>
      <c r="G7" s="350" t="s">
        <v>61</v>
      </c>
      <c r="H7" s="350" t="s">
        <v>61</v>
      </c>
      <c r="I7" s="448"/>
      <c r="J7" s="420">
        <v>124.59</v>
      </c>
      <c r="K7" s="318">
        <v>134.59</v>
      </c>
      <c r="L7" s="239">
        <f t="shared" si="0"/>
        <v>7</v>
      </c>
      <c r="M7" s="240"/>
      <c r="N7" s="420">
        <v>344.51</v>
      </c>
      <c r="O7" s="428">
        <v>38.159999999999997</v>
      </c>
      <c r="P7" s="239">
        <f t="shared" si="1"/>
        <v>2</v>
      </c>
      <c r="Q7" s="28"/>
      <c r="R7" s="299">
        <f t="shared" si="2"/>
        <v>172.75</v>
      </c>
      <c r="S7" s="84"/>
      <c r="T7" s="84"/>
      <c r="U7" s="84"/>
      <c r="V7" s="84"/>
      <c r="W7" s="84"/>
      <c r="X7" s="84"/>
      <c r="Y7" s="84"/>
      <c r="Z7" s="84"/>
      <c r="AA7" s="84"/>
      <c r="AB7" s="83"/>
      <c r="AC7" s="94"/>
      <c r="AD7" s="95"/>
      <c r="AJ7" s="31"/>
      <c r="AK7" s="31"/>
    </row>
    <row r="8" spans="1:37" s="218" customFormat="1" ht="15">
      <c r="A8" s="355" t="s">
        <v>176</v>
      </c>
      <c r="B8" s="350"/>
      <c r="C8" s="350"/>
      <c r="D8" s="350"/>
      <c r="E8" s="350"/>
      <c r="F8" s="350"/>
      <c r="G8" s="350"/>
      <c r="H8" s="350"/>
      <c r="I8" s="448"/>
      <c r="J8" s="420"/>
      <c r="K8" s="318"/>
      <c r="L8" s="239"/>
      <c r="M8" s="258"/>
      <c r="N8" s="420"/>
      <c r="O8" s="428"/>
      <c r="P8" s="239"/>
      <c r="Q8" s="254"/>
      <c r="R8" s="299"/>
      <c r="S8" s="259"/>
      <c r="T8" s="259"/>
      <c r="U8" s="259"/>
      <c r="V8" s="259"/>
      <c r="W8" s="259"/>
      <c r="X8" s="259"/>
      <c r="Y8" s="259"/>
      <c r="Z8" s="259"/>
      <c r="AA8" s="259"/>
      <c r="AB8" s="224"/>
      <c r="AD8" s="221"/>
      <c r="AE8" s="221"/>
      <c r="AJ8" s="260"/>
      <c r="AK8" s="260"/>
    </row>
    <row r="9" spans="1:37" ht="15">
      <c r="A9" s="349" t="s">
        <v>177</v>
      </c>
      <c r="B9" s="350" t="s">
        <v>61</v>
      </c>
      <c r="C9" s="350" t="s">
        <v>61</v>
      </c>
      <c r="D9" s="350" t="s">
        <v>61</v>
      </c>
      <c r="E9" s="350" t="s">
        <v>61</v>
      </c>
      <c r="F9" s="350" t="s">
        <v>61</v>
      </c>
      <c r="G9" s="350" t="s">
        <v>61</v>
      </c>
      <c r="H9" s="350" t="s">
        <v>61</v>
      </c>
      <c r="I9" s="448"/>
      <c r="J9" s="420">
        <v>131.13</v>
      </c>
      <c r="K9" s="318">
        <v>141.13</v>
      </c>
      <c r="L9" s="239">
        <f t="shared" si="0"/>
        <v>6</v>
      </c>
      <c r="M9" s="258"/>
      <c r="N9" s="420">
        <v>386.55</v>
      </c>
      <c r="O9" s="428">
        <v>31.16</v>
      </c>
      <c r="P9" s="239">
        <f t="shared" si="1"/>
        <v>6</v>
      </c>
      <c r="Q9" s="28"/>
      <c r="R9" s="299">
        <f t="shared" si="2"/>
        <v>172.29</v>
      </c>
      <c r="S9" s="84"/>
      <c r="T9" s="84"/>
      <c r="U9" s="84"/>
      <c r="V9" s="84"/>
      <c r="W9" s="84"/>
      <c r="X9" s="84"/>
      <c r="Y9" s="84"/>
      <c r="Z9" s="84"/>
      <c r="AA9" s="84"/>
      <c r="AB9" s="83"/>
      <c r="AC9" s="94"/>
      <c r="AD9" s="95"/>
      <c r="AJ9" s="31"/>
      <c r="AK9" s="31"/>
    </row>
    <row r="10" spans="1:37" ht="15">
      <c r="A10" s="356" t="s">
        <v>178</v>
      </c>
      <c r="B10" s="350" t="s">
        <v>61</v>
      </c>
      <c r="C10" s="350" t="s">
        <v>61</v>
      </c>
      <c r="D10" s="350" t="s">
        <v>61</v>
      </c>
      <c r="E10" s="381" t="s">
        <v>61</v>
      </c>
      <c r="F10" s="381" t="s">
        <v>61</v>
      </c>
      <c r="G10" s="381" t="s">
        <v>61</v>
      </c>
      <c r="H10" s="381" t="s">
        <v>61</v>
      </c>
      <c r="I10" s="449"/>
      <c r="J10" s="420">
        <v>182.22</v>
      </c>
      <c r="K10" s="318">
        <v>219.72</v>
      </c>
      <c r="L10" s="239">
        <f t="shared" si="0"/>
        <v>4</v>
      </c>
      <c r="M10" s="240"/>
      <c r="N10" s="420">
        <v>558.6</v>
      </c>
      <c r="O10" s="428">
        <v>2.5</v>
      </c>
      <c r="P10" s="239">
        <f t="shared" si="1"/>
        <v>9</v>
      </c>
      <c r="Q10" s="28"/>
      <c r="R10" s="299">
        <f t="shared" si="2"/>
        <v>222.22</v>
      </c>
      <c r="S10" s="97"/>
      <c r="T10" s="97"/>
      <c r="U10" s="97"/>
      <c r="V10" s="84"/>
      <c r="W10" s="84"/>
      <c r="X10" s="84"/>
      <c r="Y10" s="84"/>
      <c r="Z10" s="84"/>
      <c r="AA10" s="84"/>
      <c r="AB10" s="83"/>
      <c r="AC10" s="94"/>
      <c r="AD10" s="95"/>
      <c r="AJ10" s="31"/>
      <c r="AK10" s="31"/>
    </row>
    <row r="11" spans="1:37" ht="15">
      <c r="A11" s="355" t="s">
        <v>179</v>
      </c>
      <c r="B11" s="350" t="s">
        <v>61</v>
      </c>
      <c r="C11" s="350" t="s">
        <v>61</v>
      </c>
      <c r="D11" s="350" t="s">
        <v>118</v>
      </c>
      <c r="E11" s="350" t="s">
        <v>61</v>
      </c>
      <c r="F11" s="350" t="s">
        <v>118</v>
      </c>
      <c r="G11" s="350" t="s">
        <v>61</v>
      </c>
      <c r="H11" s="350" t="s">
        <v>118</v>
      </c>
      <c r="I11" s="448"/>
      <c r="J11" s="420">
        <v>76.22</v>
      </c>
      <c r="K11" s="318">
        <v>20</v>
      </c>
      <c r="L11" s="239">
        <f t="shared" si="0"/>
        <v>8</v>
      </c>
      <c r="M11" s="240"/>
      <c r="N11" s="420">
        <v>485.76</v>
      </c>
      <c r="O11" s="428">
        <v>14.63</v>
      </c>
      <c r="P11" s="239">
        <f t="shared" si="1"/>
        <v>7</v>
      </c>
      <c r="Q11" s="28"/>
      <c r="R11" s="299">
        <f t="shared" si="2"/>
        <v>34.630000000000003</v>
      </c>
      <c r="S11" s="97"/>
      <c r="T11" s="97"/>
      <c r="U11" s="97"/>
      <c r="V11" s="84"/>
      <c r="W11" s="84"/>
      <c r="X11" s="84"/>
      <c r="Y11" s="84"/>
      <c r="Z11" s="84"/>
      <c r="AA11" s="84"/>
      <c r="AB11" s="83"/>
      <c r="AC11" s="94"/>
      <c r="AD11" s="95"/>
      <c r="AJ11" s="31"/>
      <c r="AK11" s="31"/>
    </row>
    <row r="12" spans="1:37" ht="15">
      <c r="A12" s="356" t="s">
        <v>180</v>
      </c>
      <c r="B12" s="350" t="s">
        <v>61</v>
      </c>
      <c r="C12" s="350" t="s">
        <v>61</v>
      </c>
      <c r="D12" s="350" t="s">
        <v>61</v>
      </c>
      <c r="E12" s="381" t="s">
        <v>61</v>
      </c>
      <c r="F12" s="381" t="s">
        <v>61</v>
      </c>
      <c r="G12" s="381" t="s">
        <v>61</v>
      </c>
      <c r="H12" s="381" t="s">
        <v>61</v>
      </c>
      <c r="I12" s="448"/>
      <c r="J12" s="420">
        <v>149.5</v>
      </c>
      <c r="K12" s="318">
        <v>159.5</v>
      </c>
      <c r="L12" s="239">
        <f t="shared" si="0"/>
        <v>5</v>
      </c>
      <c r="M12" s="240"/>
      <c r="N12" s="420">
        <v>545.63</v>
      </c>
      <c r="O12" s="428">
        <v>4.66</v>
      </c>
      <c r="P12" s="239">
        <f t="shared" si="1"/>
        <v>8</v>
      </c>
      <c r="Q12" s="28"/>
      <c r="R12" s="299">
        <f t="shared" si="2"/>
        <v>164.16</v>
      </c>
      <c r="S12" s="97"/>
      <c r="T12" s="97"/>
      <c r="U12" s="97"/>
      <c r="V12" s="84"/>
      <c r="W12" s="84"/>
      <c r="X12" s="84"/>
      <c r="Y12" s="84"/>
      <c r="Z12" s="84"/>
      <c r="AA12" s="84"/>
      <c r="AB12" s="83"/>
      <c r="AC12" s="94"/>
      <c r="AD12" s="95"/>
      <c r="AJ12" s="31"/>
      <c r="AK12" s="31"/>
    </row>
    <row r="13" spans="1:37" ht="15">
      <c r="A13" s="356" t="s">
        <v>181</v>
      </c>
      <c r="B13" s="350" t="s">
        <v>61</v>
      </c>
      <c r="C13" s="350" t="s">
        <v>61</v>
      </c>
      <c r="D13" s="350" t="s">
        <v>61</v>
      </c>
      <c r="E13" s="381" t="s">
        <v>61</v>
      </c>
      <c r="F13" s="381" t="s">
        <v>61</v>
      </c>
      <c r="G13" s="381" t="s">
        <v>61</v>
      </c>
      <c r="H13" s="381" t="s">
        <v>61</v>
      </c>
      <c r="I13" s="448"/>
      <c r="J13" s="420">
        <v>203.57</v>
      </c>
      <c r="K13" s="318">
        <v>289.10000000000002</v>
      </c>
      <c r="L13" s="239">
        <f t="shared" si="0"/>
        <v>2</v>
      </c>
      <c r="M13" s="240"/>
      <c r="N13" s="420">
        <v>375.32</v>
      </c>
      <c r="O13" s="428">
        <v>33.03</v>
      </c>
      <c r="P13" s="239">
        <f t="shared" si="1"/>
        <v>5</v>
      </c>
      <c r="Q13" s="28"/>
      <c r="R13" s="299">
        <f t="shared" si="2"/>
        <v>322.13</v>
      </c>
      <c r="S13" s="84"/>
      <c r="T13" s="84"/>
      <c r="U13" s="84"/>
      <c r="V13" s="84"/>
      <c r="W13" s="84"/>
      <c r="X13" s="84"/>
      <c r="Y13" s="84"/>
      <c r="Z13" s="84"/>
      <c r="AA13" s="84"/>
      <c r="AB13" s="83"/>
      <c r="AC13" s="94"/>
      <c r="AD13" s="95"/>
      <c r="AJ13" s="31"/>
      <c r="AK13" s="31"/>
    </row>
    <row r="14" spans="1:37" ht="15">
      <c r="A14" s="356" t="s">
        <v>182</v>
      </c>
      <c r="B14" s="350" t="s">
        <v>61</v>
      </c>
      <c r="C14" s="350" t="s">
        <v>61</v>
      </c>
      <c r="D14" s="350" t="s">
        <v>61</v>
      </c>
      <c r="E14" s="381" t="s">
        <v>61</v>
      </c>
      <c r="F14" s="381" t="s">
        <v>61</v>
      </c>
      <c r="G14" s="350" t="s">
        <v>118</v>
      </c>
      <c r="H14" s="381" t="s">
        <v>118</v>
      </c>
      <c r="I14" s="449"/>
      <c r="J14" s="420">
        <v>206.82</v>
      </c>
      <c r="K14" s="318">
        <v>20</v>
      </c>
      <c r="L14" s="239">
        <f t="shared" si="0"/>
        <v>8</v>
      </c>
      <c r="M14" s="240"/>
      <c r="N14" s="420">
        <v>273.45</v>
      </c>
      <c r="O14" s="428">
        <f t="shared" ref="O14" si="3">IF(N14&gt;0,50*(((Bmax/N14)^2-1)/((Bmax/Bmin)^2-1)),0)</f>
        <v>50</v>
      </c>
      <c r="P14" s="239">
        <f t="shared" si="1"/>
        <v>1</v>
      </c>
      <c r="Q14" s="28"/>
      <c r="R14" s="299">
        <f t="shared" si="2"/>
        <v>70</v>
      </c>
      <c r="S14" s="84"/>
      <c r="T14" s="84"/>
      <c r="U14" s="84"/>
      <c r="V14" s="84"/>
      <c r="W14" s="84"/>
      <c r="X14" s="84"/>
      <c r="Y14" s="84"/>
      <c r="Z14" s="84"/>
      <c r="AA14" s="84"/>
      <c r="AB14" s="83"/>
      <c r="AC14" s="94"/>
      <c r="AD14" s="95"/>
      <c r="AJ14" s="31"/>
      <c r="AK14" s="31"/>
    </row>
    <row r="15" spans="1:37" s="143" customFormat="1" ht="15">
      <c r="A15" s="356" t="s">
        <v>183</v>
      </c>
      <c r="B15" s="350"/>
      <c r="C15" s="350"/>
      <c r="D15" s="350"/>
      <c r="E15" s="350"/>
      <c r="F15" s="350"/>
      <c r="G15" s="350"/>
      <c r="H15" s="350"/>
      <c r="I15" s="449"/>
      <c r="J15" s="420"/>
      <c r="K15" s="318"/>
      <c r="L15" s="239"/>
      <c r="M15" s="240"/>
      <c r="N15" s="420"/>
      <c r="O15" s="428"/>
      <c r="P15" s="239"/>
      <c r="Q15" s="152"/>
      <c r="R15" s="299"/>
      <c r="S15" s="154"/>
      <c r="T15" s="154"/>
      <c r="U15" s="154"/>
      <c r="V15" s="154"/>
      <c r="W15" s="154"/>
      <c r="X15" s="154"/>
      <c r="Y15" s="154"/>
      <c r="Z15" s="154"/>
      <c r="AA15" s="154"/>
      <c r="AB15" s="137"/>
      <c r="AC15" s="146"/>
      <c r="AD15" s="145"/>
      <c r="AE15" s="142"/>
      <c r="AJ15" s="155"/>
      <c r="AK15" s="155"/>
    </row>
    <row r="16" spans="1:37" ht="15">
      <c r="A16" s="356" t="s">
        <v>184</v>
      </c>
      <c r="I16" s="449"/>
      <c r="J16" s="420"/>
      <c r="K16" s="318"/>
      <c r="L16" s="239"/>
      <c r="M16" s="240"/>
      <c r="N16" s="420"/>
      <c r="O16" s="428"/>
      <c r="P16" s="239"/>
      <c r="Q16" s="40"/>
      <c r="R16" s="299"/>
      <c r="S16" s="99"/>
      <c r="T16" s="99"/>
      <c r="U16" s="100"/>
      <c r="V16" s="100"/>
      <c r="W16" s="100"/>
      <c r="X16" s="100"/>
      <c r="Y16" s="100"/>
      <c r="Z16" s="100"/>
      <c r="AA16" s="100"/>
      <c r="AB16" s="101"/>
      <c r="AC16" s="102"/>
      <c r="AD16" s="103"/>
      <c r="AE16" s="48"/>
      <c r="AF16" s="32"/>
      <c r="AG16" s="32"/>
      <c r="AH16" s="32"/>
      <c r="AI16" s="32"/>
      <c r="AJ16" s="31"/>
      <c r="AK16" s="31"/>
    </row>
    <row r="17" spans="1:37">
      <c r="A17" s="89"/>
      <c r="B17" s="287"/>
      <c r="C17" s="134"/>
      <c r="D17" s="271"/>
      <c r="E17" s="271"/>
      <c r="F17" s="271"/>
      <c r="G17" s="271"/>
      <c r="H17" s="407" t="s">
        <v>81</v>
      </c>
      <c r="I17" s="241"/>
      <c r="J17" s="421">
        <f>J7</f>
        <v>124.59</v>
      </c>
      <c r="K17" s="242">
        <v>100</v>
      </c>
      <c r="L17" s="243"/>
      <c r="M17" s="244"/>
      <c r="N17" s="421">
        <f>MIN(N5:N16)</f>
        <v>273.45</v>
      </c>
      <c r="O17" s="244">
        <v>0</v>
      </c>
      <c r="P17" s="98"/>
      <c r="Q17" s="86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13"/>
      <c r="AC17" s="111"/>
      <c r="AD17" s="114"/>
      <c r="AE17" s="48"/>
      <c r="AF17" s="32"/>
      <c r="AG17" s="32"/>
      <c r="AH17" s="32"/>
      <c r="AI17" s="32"/>
      <c r="AJ17" s="31"/>
      <c r="AK17" s="31"/>
    </row>
    <row r="18" spans="1:37">
      <c r="A18" s="89"/>
      <c r="B18" s="287"/>
      <c r="C18" s="271"/>
      <c r="D18" s="271"/>
      <c r="E18" s="271"/>
      <c r="F18" s="271"/>
      <c r="G18" s="271"/>
      <c r="H18" s="408" t="s">
        <v>80</v>
      </c>
      <c r="I18" s="245"/>
      <c r="J18" s="422">
        <f>MAX(J5:J16)</f>
        <v>207.15</v>
      </c>
      <c r="K18" s="246">
        <v>300</v>
      </c>
      <c r="L18" s="247"/>
      <c r="M18" s="247"/>
      <c r="N18" s="422">
        <f>MAX(N5:N16)</f>
        <v>558.6</v>
      </c>
      <c r="O18" s="247">
        <v>50</v>
      </c>
      <c r="P18" s="98"/>
      <c r="Q18" s="96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06"/>
      <c r="AC18" s="112"/>
      <c r="AD18" s="116"/>
      <c r="AE18" s="48"/>
      <c r="AF18" s="32"/>
      <c r="AG18" s="32"/>
      <c r="AH18" s="32"/>
      <c r="AI18" s="32"/>
      <c r="AJ18" s="31"/>
      <c r="AK18" s="31"/>
    </row>
    <row r="19" spans="1:37" ht="15">
      <c r="A19" s="89"/>
      <c r="B19" s="287"/>
      <c r="C19" s="271"/>
      <c r="D19" s="187" t="s">
        <v>48</v>
      </c>
      <c r="E19" s="186" t="s">
        <v>48</v>
      </c>
      <c r="F19" s="271"/>
      <c r="G19" s="271"/>
      <c r="H19" s="271"/>
      <c r="I19" s="98"/>
      <c r="J19" s="98"/>
      <c r="K19" s="98"/>
      <c r="L19" s="98"/>
      <c r="M19" s="98"/>
      <c r="N19" s="98"/>
      <c r="O19" s="98"/>
      <c r="P19" s="98"/>
      <c r="Q19" s="96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06"/>
      <c r="AC19" s="112"/>
      <c r="AD19" s="116"/>
      <c r="AE19" s="48"/>
      <c r="AF19" s="32"/>
      <c r="AG19" s="32"/>
      <c r="AH19" s="32"/>
      <c r="AI19" s="32"/>
      <c r="AJ19" s="31"/>
      <c r="AK19" s="31"/>
    </row>
    <row r="20" spans="1:37" ht="15">
      <c r="B20" s="287"/>
      <c r="C20" s="284"/>
      <c r="D20" s="185"/>
      <c r="E20" s="185"/>
      <c r="F20" s="284"/>
      <c r="G20" s="409" t="s">
        <v>48</v>
      </c>
      <c r="H20" s="284"/>
      <c r="I20" s="90"/>
      <c r="J20" s="343" t="s">
        <v>156</v>
      </c>
      <c r="K20" s="255"/>
      <c r="L20" s="90"/>
      <c r="M20" s="90"/>
      <c r="N20" s="98"/>
      <c r="O20" s="90"/>
      <c r="P20" s="90"/>
      <c r="Q20" s="96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06"/>
      <c r="AC20" s="117"/>
      <c r="AD20" s="116"/>
    </row>
    <row r="21" spans="1:37">
      <c r="B21" s="350" t="s">
        <v>119</v>
      </c>
      <c r="C21" s="271"/>
      <c r="D21" s="271"/>
      <c r="E21" s="410"/>
      <c r="F21" s="271"/>
      <c r="G21" s="271"/>
      <c r="H21" s="271"/>
      <c r="I21" s="98"/>
      <c r="J21" s="343" t="s">
        <v>152</v>
      </c>
      <c r="K21" s="343">
        <f>200/(Emax-Emin)</f>
        <v>2.4224806201550386</v>
      </c>
      <c r="L21" s="98"/>
      <c r="M21" s="98"/>
      <c r="N21" s="98"/>
      <c r="O21" s="98"/>
      <c r="P21" s="98"/>
      <c r="Q21" s="96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06"/>
      <c r="AC21" s="117"/>
      <c r="AD21" s="116"/>
    </row>
    <row r="22" spans="1:37">
      <c r="B22" s="350" t="s">
        <v>120</v>
      </c>
      <c r="C22" s="271"/>
      <c r="D22" s="271"/>
      <c r="E22" s="271"/>
      <c r="F22" s="271"/>
      <c r="G22" s="271"/>
      <c r="H22" s="271"/>
      <c r="I22" s="98"/>
      <c r="J22" s="343" t="s">
        <v>153</v>
      </c>
      <c r="K22" s="344">
        <f>K21*Emax</f>
        <v>501.81686046511629</v>
      </c>
      <c r="L22" s="98"/>
      <c r="M22" s="98"/>
      <c r="N22" s="98"/>
      <c r="O22" s="98"/>
      <c r="P22" s="98"/>
      <c r="Q22" s="96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106"/>
      <c r="AC22" s="117"/>
      <c r="AD22" s="116"/>
    </row>
    <row r="23" spans="1:37">
      <c r="B23" s="350" t="s">
        <v>121</v>
      </c>
      <c r="C23" s="284"/>
      <c r="D23" s="284"/>
      <c r="E23" s="284"/>
      <c r="F23" s="284"/>
      <c r="G23" s="284"/>
      <c r="H23" s="284"/>
      <c r="I23" s="90"/>
      <c r="J23" s="98"/>
      <c r="K23" s="90"/>
      <c r="L23" s="90"/>
      <c r="M23" s="90"/>
      <c r="N23" s="98"/>
      <c r="O23" s="90"/>
      <c r="P23" s="90"/>
      <c r="Q23" s="96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06"/>
      <c r="AC23" s="117"/>
      <c r="AD23" s="116"/>
    </row>
    <row r="24" spans="1:37">
      <c r="A24" s="89"/>
      <c r="B24" s="271"/>
      <c r="C24" s="271" t="s">
        <v>88</v>
      </c>
      <c r="D24" s="271"/>
      <c r="E24" s="271"/>
      <c r="F24" s="271"/>
      <c r="G24" s="271"/>
      <c r="H24" s="271"/>
      <c r="I24" s="98"/>
      <c r="J24" s="98"/>
      <c r="K24" s="98"/>
      <c r="L24" s="98"/>
      <c r="M24" s="98"/>
      <c r="N24" s="98"/>
      <c r="O24" s="98"/>
      <c r="P24" s="105"/>
      <c r="Q24" s="96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06"/>
      <c r="AC24" s="117"/>
      <c r="AD24" s="116"/>
    </row>
    <row r="25" spans="1:37">
      <c r="A25" s="89"/>
      <c r="B25" s="284"/>
      <c r="C25" s="284"/>
      <c r="D25" s="284"/>
      <c r="E25" s="284"/>
      <c r="F25" s="284"/>
      <c r="G25" s="284"/>
      <c r="H25" s="284"/>
      <c r="I25" s="90"/>
      <c r="J25" s="98"/>
      <c r="K25" s="90"/>
      <c r="L25" s="90"/>
      <c r="M25" s="90"/>
      <c r="N25" s="90"/>
      <c r="O25" s="90"/>
      <c r="P25" s="105"/>
      <c r="Q25" s="96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106"/>
      <c r="AC25" s="117"/>
      <c r="AD25" s="116"/>
    </row>
    <row r="26" spans="1:37">
      <c r="A26" s="89"/>
      <c r="B26" s="284"/>
      <c r="C26" s="284"/>
      <c r="D26" s="284"/>
      <c r="E26" s="284"/>
      <c r="F26" s="284"/>
      <c r="G26" s="284"/>
      <c r="H26" s="284"/>
      <c r="I26" s="90"/>
      <c r="J26" s="98"/>
      <c r="K26" s="90"/>
      <c r="L26" s="90"/>
      <c r="M26" s="90"/>
      <c r="N26" s="90"/>
      <c r="O26" s="90"/>
      <c r="P26" s="105"/>
      <c r="Q26" s="96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106"/>
      <c r="AC26" s="117"/>
      <c r="AD26" s="116"/>
    </row>
    <row r="27" spans="1:37" ht="15">
      <c r="A27" s="89"/>
      <c r="B27" s="271"/>
      <c r="C27" s="271"/>
      <c r="D27" s="271"/>
      <c r="E27" s="411" t="s">
        <v>224</v>
      </c>
      <c r="F27" s="271"/>
      <c r="G27" s="271"/>
      <c r="H27" s="271"/>
      <c r="I27" s="98"/>
      <c r="J27" s="98"/>
      <c r="K27" s="98"/>
      <c r="L27" s="98"/>
      <c r="M27" s="98"/>
      <c r="N27" s="98"/>
      <c r="O27" s="98"/>
      <c r="P27" s="105"/>
      <c r="Q27" s="96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06"/>
      <c r="AC27" s="117"/>
      <c r="AD27" s="116"/>
    </row>
    <row r="28" spans="1:37">
      <c r="A28" s="89"/>
      <c r="B28" s="271"/>
      <c r="C28" s="271"/>
      <c r="D28" s="271"/>
      <c r="E28" s="271"/>
      <c r="F28" s="271"/>
      <c r="G28" s="271"/>
      <c r="H28" s="271"/>
      <c r="I28" s="98"/>
      <c r="J28" s="98"/>
      <c r="K28" s="98"/>
      <c r="L28" s="98"/>
      <c r="M28" s="98"/>
      <c r="N28" s="98"/>
      <c r="O28" s="98"/>
      <c r="P28" s="105"/>
      <c r="Q28" s="96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06"/>
      <c r="AC28" s="117"/>
      <c r="AD28" s="116"/>
    </row>
    <row r="29" spans="1:37">
      <c r="A29" s="89"/>
      <c r="B29" s="284"/>
      <c r="C29" s="284"/>
      <c r="D29" s="284"/>
      <c r="E29" s="284"/>
      <c r="F29" s="284"/>
      <c r="G29" s="284"/>
      <c r="H29" s="284"/>
      <c r="I29" s="90"/>
      <c r="J29" s="98"/>
      <c r="K29" s="90"/>
      <c r="L29" s="90"/>
      <c r="M29" s="90"/>
      <c r="N29" s="90"/>
      <c r="O29" s="90"/>
      <c r="P29" s="105"/>
      <c r="Q29" s="96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106"/>
      <c r="AC29" s="117"/>
      <c r="AD29" s="116"/>
    </row>
    <row r="30" spans="1:37">
      <c r="A30" s="89"/>
      <c r="B30" s="412"/>
      <c r="C30" s="271"/>
      <c r="D30" s="271"/>
      <c r="E30" s="271"/>
      <c r="F30" s="271"/>
      <c r="G30" s="271"/>
      <c r="H30" s="271"/>
      <c r="I30" s="98"/>
      <c r="J30" s="98"/>
      <c r="K30" s="98"/>
      <c r="L30" s="98"/>
      <c r="M30" s="98"/>
      <c r="N30" s="98"/>
      <c r="O30" s="98"/>
      <c r="P30" s="105"/>
      <c r="Q30" s="96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06"/>
      <c r="AC30" s="117"/>
      <c r="AD30" s="116"/>
    </row>
    <row r="31" spans="1:37">
      <c r="A31" s="89"/>
      <c r="B31" s="271"/>
      <c r="C31" s="271"/>
      <c r="D31" s="271"/>
      <c r="E31" s="271"/>
      <c r="F31" s="413"/>
      <c r="G31" s="271"/>
      <c r="H31" s="271"/>
      <c r="I31" s="98"/>
      <c r="J31" s="98"/>
      <c r="K31" s="98"/>
      <c r="L31" s="98"/>
      <c r="M31" s="98"/>
      <c r="N31" s="98"/>
      <c r="O31" s="98"/>
      <c r="P31" s="106"/>
      <c r="Q31" s="96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06"/>
      <c r="AC31" s="117"/>
      <c r="AD31" s="88"/>
    </row>
    <row r="32" spans="1:37">
      <c r="A32" s="89"/>
      <c r="B32" s="284"/>
      <c r="C32" s="284"/>
      <c r="D32" s="181"/>
      <c r="E32" s="182"/>
      <c r="F32" s="182"/>
      <c r="G32" s="75"/>
      <c r="H32" s="75"/>
      <c r="I32" s="90"/>
      <c r="J32" s="98"/>
      <c r="K32" s="90"/>
      <c r="L32" s="90"/>
      <c r="M32" s="90"/>
      <c r="N32" s="90"/>
      <c r="O32" s="90"/>
      <c r="P32" s="105"/>
      <c r="Q32" s="96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106"/>
      <c r="AC32" s="117"/>
      <c r="AD32" s="116"/>
    </row>
    <row r="33" spans="1:30">
      <c r="A33" s="89"/>
      <c r="B33" s="271"/>
      <c r="C33" s="271"/>
      <c r="D33" s="75"/>
      <c r="E33" s="75"/>
      <c r="F33" s="179"/>
      <c r="G33" s="75"/>
      <c r="H33" s="180"/>
      <c r="I33" s="176"/>
      <c r="J33" s="176"/>
      <c r="K33" s="176"/>
      <c r="L33" s="98"/>
      <c r="M33" s="98"/>
      <c r="N33" s="98"/>
      <c r="O33" s="98"/>
      <c r="P33" s="105"/>
      <c r="Q33" s="96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06"/>
      <c r="AC33" s="117"/>
      <c r="AD33" s="116"/>
    </row>
    <row r="34" spans="1:30">
      <c r="A34" s="83"/>
      <c r="B34" s="271"/>
      <c r="C34" s="284"/>
      <c r="D34" s="75"/>
      <c r="E34" s="75"/>
      <c r="F34" s="182"/>
      <c r="G34" s="75"/>
      <c r="H34" s="75"/>
      <c r="I34" s="90"/>
      <c r="J34" s="98"/>
      <c r="K34" s="90"/>
      <c r="L34" s="90"/>
      <c r="M34" s="90"/>
      <c r="N34" s="90"/>
      <c r="O34" s="90"/>
      <c r="P34" s="105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106"/>
      <c r="AC34" s="117"/>
      <c r="AD34" s="116"/>
    </row>
    <row r="35" spans="1:30">
      <c r="A35" s="83"/>
      <c r="B35" s="284"/>
      <c r="C35" s="284"/>
      <c r="D35" s="284"/>
      <c r="E35" s="284"/>
      <c r="F35" s="284"/>
      <c r="G35" s="284"/>
      <c r="H35" s="284"/>
      <c r="I35" s="90"/>
      <c r="J35" s="98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117"/>
      <c r="AD35" s="88"/>
    </row>
    <row r="36" spans="1:30">
      <c r="A36" s="83"/>
      <c r="B36" s="284"/>
      <c r="C36" s="284"/>
      <c r="D36" s="284"/>
      <c r="E36" s="284"/>
      <c r="F36" s="284"/>
      <c r="G36" s="284"/>
      <c r="H36" s="284"/>
      <c r="I36" s="90"/>
      <c r="J36" s="98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117"/>
      <c r="AD36" s="88"/>
    </row>
    <row r="37" spans="1:30">
      <c r="A37" s="108"/>
      <c r="B37" s="56"/>
      <c r="C37" s="56"/>
      <c r="D37" s="56"/>
      <c r="E37" s="56"/>
      <c r="F37" s="56"/>
      <c r="G37" s="56"/>
      <c r="H37" s="56"/>
      <c r="I37" s="92"/>
      <c r="J37" s="105"/>
      <c r="K37" s="92"/>
      <c r="L37" s="92"/>
      <c r="M37" s="92"/>
      <c r="N37" s="92"/>
      <c r="O37" s="92"/>
      <c r="P37" s="92"/>
      <c r="Q37" s="90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117"/>
      <c r="AD37" s="88"/>
    </row>
    <row r="38" spans="1:30">
      <c r="A38" s="89"/>
      <c r="B38" s="284"/>
      <c r="C38" s="284"/>
      <c r="D38" s="284"/>
      <c r="E38" s="284"/>
      <c r="F38" s="284"/>
      <c r="G38" s="284"/>
      <c r="H38" s="284"/>
      <c r="I38" s="90"/>
      <c r="J38" s="98"/>
      <c r="K38" s="90"/>
      <c r="L38" s="90"/>
      <c r="M38" s="90"/>
      <c r="N38" s="90"/>
      <c r="O38" s="90"/>
      <c r="P38" s="105"/>
      <c r="Q38" s="96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106"/>
      <c r="AC38" s="117"/>
      <c r="AD38" s="116"/>
    </row>
    <row r="39" spans="1:30">
      <c r="A39" s="89"/>
      <c r="B39" s="284"/>
      <c r="C39" s="284"/>
      <c r="D39" s="284"/>
      <c r="E39" s="284"/>
      <c r="F39" s="284"/>
      <c r="G39" s="284"/>
      <c r="H39" s="284"/>
      <c r="I39" s="90"/>
      <c r="J39" s="98"/>
      <c r="K39" s="90"/>
      <c r="L39" s="90"/>
      <c r="M39" s="90"/>
      <c r="N39" s="90"/>
      <c r="O39" s="90"/>
      <c r="P39" s="105"/>
      <c r="Q39" s="96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106"/>
      <c r="AC39" s="117"/>
      <c r="AD39" s="116"/>
    </row>
    <row r="40" spans="1:30">
      <c r="A40" s="89"/>
      <c r="B40" s="284"/>
      <c r="C40" s="284"/>
      <c r="D40" s="284"/>
      <c r="E40" s="284"/>
      <c r="F40" s="284"/>
      <c r="G40" s="284"/>
      <c r="H40" s="284"/>
      <c r="I40" s="90"/>
      <c r="J40" s="98"/>
      <c r="K40" s="90"/>
      <c r="L40" s="90"/>
      <c r="M40" s="90"/>
      <c r="N40" s="90"/>
      <c r="O40" s="90"/>
      <c r="P40" s="105"/>
      <c r="Q40" s="96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106"/>
      <c r="AC40" s="117"/>
      <c r="AD40" s="116"/>
    </row>
    <row r="41" spans="1:30">
      <c r="A41" s="89"/>
      <c r="B41" s="284"/>
      <c r="C41" s="284"/>
      <c r="D41" s="284"/>
      <c r="E41" s="284"/>
      <c r="F41" s="284"/>
      <c r="G41" s="284"/>
      <c r="H41" s="284"/>
      <c r="I41" s="90"/>
      <c r="J41" s="98"/>
      <c r="K41" s="90"/>
      <c r="L41" s="90"/>
      <c r="M41" s="90"/>
      <c r="N41" s="90"/>
      <c r="O41" s="90"/>
      <c r="P41" s="105"/>
      <c r="Q41" s="96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106"/>
      <c r="AC41" s="117"/>
      <c r="AD41" s="116"/>
    </row>
    <row r="42" spans="1:30">
      <c r="A42" s="89"/>
      <c r="B42" s="284"/>
      <c r="C42" s="284"/>
      <c r="D42" s="284"/>
      <c r="E42" s="284"/>
      <c r="F42" s="284"/>
      <c r="G42" s="284"/>
      <c r="H42" s="284"/>
      <c r="I42" s="90"/>
      <c r="J42" s="98"/>
      <c r="K42" s="90"/>
      <c r="L42" s="90"/>
      <c r="M42" s="90"/>
      <c r="N42" s="90"/>
      <c r="O42" s="90"/>
      <c r="P42" s="105"/>
      <c r="Q42" s="96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106"/>
      <c r="AC42" s="117"/>
      <c r="AD42" s="116"/>
    </row>
    <row r="43" spans="1:30">
      <c r="A43" s="89"/>
      <c r="B43" s="284"/>
      <c r="C43" s="284"/>
      <c r="D43" s="284"/>
      <c r="E43" s="284"/>
      <c r="F43" s="284"/>
      <c r="G43" s="284"/>
      <c r="H43" s="284"/>
      <c r="I43" s="90"/>
      <c r="J43" s="98"/>
      <c r="K43" s="90"/>
      <c r="L43" s="90"/>
      <c r="M43" s="90"/>
      <c r="N43" s="90"/>
      <c r="O43" s="90"/>
      <c r="P43" s="105"/>
      <c r="Q43" s="96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106"/>
      <c r="AC43" s="117"/>
      <c r="AD43" s="116"/>
    </row>
    <row r="44" spans="1:30">
      <c r="A44" s="89"/>
      <c r="B44" s="284"/>
      <c r="C44" s="284"/>
      <c r="D44" s="284"/>
      <c r="E44" s="284"/>
      <c r="F44" s="284"/>
      <c r="G44" s="284"/>
      <c r="H44" s="284"/>
      <c r="I44" s="90"/>
      <c r="J44" s="98"/>
      <c r="K44" s="90"/>
      <c r="L44" s="90"/>
      <c r="M44" s="90"/>
      <c r="N44" s="90"/>
      <c r="O44" s="90"/>
      <c r="P44" s="105"/>
      <c r="Q44" s="96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106"/>
      <c r="AC44" s="117"/>
      <c r="AD44" s="116"/>
    </row>
    <row r="45" spans="1:30">
      <c r="A45" s="89"/>
      <c r="B45" s="284"/>
      <c r="C45" s="284"/>
      <c r="D45" s="284"/>
      <c r="E45" s="284"/>
      <c r="F45" s="284"/>
      <c r="G45" s="284"/>
      <c r="H45" s="284"/>
      <c r="I45" s="90"/>
      <c r="J45" s="98"/>
      <c r="K45" s="90"/>
      <c r="L45" s="90"/>
      <c r="M45" s="90"/>
      <c r="N45" s="90"/>
      <c r="O45" s="90"/>
      <c r="P45" s="105"/>
      <c r="Q45" s="96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106"/>
      <c r="AC45" s="117"/>
      <c r="AD45" s="116"/>
    </row>
    <row r="46" spans="1:30">
      <c r="A46" s="89"/>
      <c r="B46" s="284"/>
      <c r="C46" s="284"/>
      <c r="D46" s="284"/>
      <c r="E46" s="284"/>
      <c r="F46" s="284"/>
      <c r="G46" s="284"/>
      <c r="H46" s="284"/>
      <c r="I46" s="90"/>
      <c r="J46" s="98"/>
      <c r="K46" s="90"/>
      <c r="L46" s="90"/>
      <c r="M46" s="90"/>
      <c r="N46" s="90"/>
      <c r="O46" s="90"/>
      <c r="P46" s="105"/>
      <c r="Q46" s="96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106"/>
      <c r="AC46" s="117"/>
      <c r="AD46" s="116"/>
    </row>
    <row r="47" spans="1:30">
      <c r="A47" s="89"/>
      <c r="B47" s="284"/>
      <c r="C47" s="284"/>
      <c r="D47" s="284"/>
      <c r="E47" s="284"/>
      <c r="F47" s="284"/>
      <c r="G47" s="284"/>
      <c r="H47" s="284"/>
      <c r="I47" s="90"/>
      <c r="J47" s="98"/>
      <c r="K47" s="90"/>
      <c r="L47" s="90"/>
      <c r="M47" s="90"/>
      <c r="N47" s="90"/>
      <c r="O47" s="90"/>
      <c r="P47" s="105"/>
      <c r="Q47" s="96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106"/>
      <c r="AC47" s="117"/>
      <c r="AD47" s="116"/>
    </row>
    <row r="48" spans="1:30">
      <c r="A48" s="89"/>
      <c r="B48" s="284"/>
      <c r="C48" s="284"/>
      <c r="D48" s="284"/>
      <c r="E48" s="284"/>
      <c r="F48" s="284"/>
      <c r="G48" s="284"/>
      <c r="H48" s="284"/>
      <c r="I48" s="90"/>
      <c r="J48" s="98"/>
      <c r="K48" s="90"/>
      <c r="L48" s="90"/>
      <c r="M48" s="90"/>
      <c r="N48" s="90"/>
      <c r="O48" s="90"/>
      <c r="P48" s="105"/>
      <c r="Q48" s="96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106"/>
      <c r="AC48" s="117"/>
      <c r="AD48" s="116"/>
    </row>
    <row r="49" spans="1:30">
      <c r="A49" s="89"/>
      <c r="B49" s="284"/>
      <c r="C49" s="284"/>
      <c r="D49" s="284"/>
      <c r="E49" s="284"/>
      <c r="F49" s="284"/>
      <c r="G49" s="284"/>
      <c r="H49" s="284"/>
      <c r="I49" s="90"/>
      <c r="J49" s="98"/>
      <c r="K49" s="90"/>
      <c r="L49" s="90"/>
      <c r="M49" s="90"/>
      <c r="N49" s="90"/>
      <c r="O49" s="90"/>
      <c r="P49" s="105"/>
      <c r="Q49" s="96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106"/>
      <c r="AC49" s="117"/>
      <c r="AD49" s="116"/>
    </row>
    <row r="50" spans="1:30">
      <c r="A50" s="89"/>
      <c r="B50" s="284"/>
      <c r="C50" s="284"/>
      <c r="D50" s="284"/>
      <c r="E50" s="284"/>
      <c r="F50" s="284"/>
      <c r="G50" s="284"/>
      <c r="H50" s="284"/>
      <c r="I50" s="90"/>
      <c r="J50" s="98"/>
      <c r="K50" s="90"/>
      <c r="L50" s="90"/>
      <c r="M50" s="90"/>
      <c r="N50" s="90"/>
      <c r="O50" s="90"/>
      <c r="P50" s="105"/>
      <c r="Q50" s="96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106"/>
      <c r="AC50" s="117"/>
      <c r="AD50" s="116"/>
    </row>
    <row r="51" spans="1:30">
      <c r="A51" s="89"/>
      <c r="B51" s="271"/>
      <c r="C51" s="271"/>
      <c r="D51" s="271"/>
      <c r="E51" s="271"/>
      <c r="F51" s="271"/>
      <c r="G51" s="271"/>
      <c r="H51" s="271"/>
      <c r="I51" s="98"/>
      <c r="J51" s="98"/>
      <c r="K51" s="98"/>
      <c r="L51" s="98"/>
      <c r="M51" s="98"/>
      <c r="N51" s="98"/>
      <c r="O51" s="98"/>
      <c r="P51" s="106"/>
      <c r="Q51" s="96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106"/>
      <c r="AC51" s="117"/>
      <c r="AD51" s="88"/>
    </row>
    <row r="52" spans="1:30">
      <c r="A52" s="89"/>
      <c r="B52" s="284"/>
      <c r="C52" s="284"/>
      <c r="D52" s="284"/>
      <c r="E52" s="284"/>
      <c r="F52" s="284"/>
      <c r="G52" s="284"/>
      <c r="H52" s="284"/>
      <c r="I52" s="90"/>
      <c r="J52" s="98"/>
      <c r="K52" s="90"/>
      <c r="L52" s="90"/>
      <c r="M52" s="90"/>
      <c r="N52" s="90"/>
      <c r="O52" s="90"/>
      <c r="P52" s="105"/>
      <c r="Q52" s="96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106"/>
      <c r="AC52" s="117"/>
      <c r="AD52" s="116"/>
    </row>
    <row r="53" spans="1:30">
      <c r="A53" s="89"/>
      <c r="B53" s="284"/>
      <c r="C53" s="284"/>
      <c r="D53" s="284"/>
      <c r="E53" s="284"/>
      <c r="F53" s="284"/>
      <c r="G53" s="284"/>
      <c r="H53" s="284"/>
      <c r="I53" s="90"/>
      <c r="J53" s="98"/>
      <c r="K53" s="90"/>
      <c r="L53" s="90"/>
      <c r="M53" s="90"/>
      <c r="N53" s="90"/>
      <c r="O53" s="90"/>
      <c r="P53" s="105"/>
      <c r="Q53" s="96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106"/>
      <c r="AC53" s="117"/>
      <c r="AD53" s="116"/>
    </row>
    <row r="54" spans="1:30">
      <c r="A54" s="94"/>
      <c r="B54" s="414"/>
      <c r="C54" s="414"/>
      <c r="D54" s="414"/>
      <c r="E54" s="414"/>
      <c r="F54" s="414"/>
      <c r="G54" s="414"/>
      <c r="H54" s="414"/>
      <c r="I54" s="117"/>
      <c r="J54" s="423"/>
      <c r="K54" s="117"/>
      <c r="L54" s="117"/>
      <c r="M54" s="117"/>
      <c r="N54" s="117"/>
      <c r="O54" s="117"/>
      <c r="P54" s="109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0"/>
      <c r="AC54" s="117"/>
      <c r="AD54" s="88"/>
    </row>
    <row r="55" spans="1:30">
      <c r="A55" s="94"/>
      <c r="B55" s="414"/>
      <c r="C55" s="414"/>
      <c r="D55" s="414"/>
      <c r="E55" s="414"/>
      <c r="F55" s="414"/>
      <c r="G55" s="414"/>
      <c r="H55" s="414"/>
      <c r="I55" s="117"/>
      <c r="J55" s="423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88"/>
    </row>
    <row r="56" spans="1:30">
      <c r="A56" s="94"/>
      <c r="B56" s="415"/>
      <c r="C56" s="415"/>
      <c r="D56" s="415"/>
      <c r="E56" s="415"/>
      <c r="F56" s="415"/>
      <c r="G56" s="415"/>
      <c r="H56" s="415"/>
      <c r="I56" s="88"/>
      <c r="J56" s="424"/>
      <c r="K56" s="88"/>
      <c r="L56" s="88"/>
      <c r="M56" s="88"/>
      <c r="N56" s="88"/>
      <c r="O56" s="88"/>
      <c r="P56" s="117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</row>
    <row r="57" spans="1:30">
      <c r="A57" s="94"/>
      <c r="B57" s="351"/>
      <c r="C57" s="351"/>
      <c r="D57" s="351"/>
      <c r="E57" s="351"/>
      <c r="F57" s="351"/>
      <c r="G57" s="351"/>
      <c r="H57" s="351"/>
      <c r="I57" s="95"/>
      <c r="J57" s="425"/>
      <c r="K57" s="95"/>
      <c r="L57" s="95"/>
      <c r="M57" s="95"/>
      <c r="N57" s="95"/>
      <c r="O57" s="95"/>
      <c r="P57" s="107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</row>
    <row r="58" spans="1:30">
      <c r="A58" s="94"/>
      <c r="B58" s="351"/>
      <c r="C58" s="351"/>
      <c r="D58" s="351"/>
      <c r="E58" s="351"/>
      <c r="F58" s="351"/>
      <c r="G58" s="351"/>
      <c r="H58" s="351"/>
      <c r="I58" s="95"/>
      <c r="J58" s="425"/>
      <c r="K58" s="95"/>
      <c r="L58" s="95"/>
      <c r="M58" s="95"/>
      <c r="N58" s="95"/>
      <c r="O58" s="95"/>
      <c r="P58" s="107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</row>
    <row r="59" spans="1:30">
      <c r="A59" s="94"/>
      <c r="B59" s="351"/>
      <c r="C59" s="351"/>
      <c r="D59" s="351"/>
      <c r="E59" s="351"/>
      <c r="F59" s="351"/>
      <c r="G59" s="351"/>
      <c r="H59" s="351"/>
      <c r="I59" s="95"/>
      <c r="J59" s="425"/>
      <c r="K59" s="95"/>
      <c r="L59" s="95"/>
      <c r="M59" s="95"/>
      <c r="N59" s="95"/>
      <c r="O59" s="95"/>
      <c r="P59" s="107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</row>
    <row r="60" spans="1:30">
      <c r="A60" s="94"/>
      <c r="B60" s="351"/>
      <c r="C60" s="351"/>
      <c r="D60" s="351"/>
      <c r="E60" s="351"/>
      <c r="F60" s="351"/>
      <c r="G60" s="351"/>
      <c r="H60" s="351"/>
      <c r="I60" s="95"/>
      <c r="J60" s="425"/>
      <c r="K60" s="95"/>
      <c r="L60" s="95"/>
      <c r="M60" s="95"/>
      <c r="N60" s="95"/>
      <c r="O60" s="95"/>
      <c r="P60" s="107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</row>
    <row r="61" spans="1:30">
      <c r="A61" s="94"/>
      <c r="I61" s="94"/>
      <c r="J61" s="426"/>
      <c r="K61" s="94"/>
      <c r="L61" s="94"/>
      <c r="M61" s="94"/>
      <c r="N61" s="95"/>
      <c r="O61" s="95"/>
      <c r="P61" s="107"/>
      <c r="Q61" s="95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4"/>
      <c r="AC61" s="94"/>
      <c r="AD61" s="95"/>
    </row>
    <row r="62" spans="1:30">
      <c r="A62" s="94"/>
      <c r="I62" s="94"/>
      <c r="J62" s="426"/>
      <c r="K62" s="94"/>
      <c r="L62" s="94"/>
      <c r="M62" s="94"/>
      <c r="N62" s="95"/>
      <c r="O62" s="95"/>
      <c r="P62" s="107"/>
      <c r="Q62" s="95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4"/>
      <c r="AC62" s="94"/>
      <c r="AD62" s="95"/>
    </row>
    <row r="63" spans="1:30">
      <c r="P63" s="42"/>
    </row>
    <row r="64" spans="1:30">
      <c r="P64" s="42"/>
    </row>
    <row r="65" spans="16:16">
      <c r="P65" s="42"/>
    </row>
    <row r="66" spans="16:16">
      <c r="P66" s="42"/>
    </row>
    <row r="67" spans="16:16">
      <c r="P67" s="42"/>
    </row>
    <row r="68" spans="16:16">
      <c r="P68" s="42"/>
    </row>
    <row r="69" spans="16:16">
      <c r="P69" s="42"/>
    </row>
    <row r="70" spans="16:16">
      <c r="P70" s="42"/>
    </row>
    <row r="71" spans="16:16">
      <c r="P71" s="42"/>
    </row>
    <row r="72" spans="16:16">
      <c r="P72" s="42"/>
    </row>
    <row r="73" spans="16:16">
      <c r="P73" s="42"/>
    </row>
    <row r="74" spans="16:16">
      <c r="P74" s="42"/>
    </row>
    <row r="75" spans="16:16">
      <c r="P75" s="42"/>
    </row>
    <row r="76" spans="16:16">
      <c r="P76" s="42"/>
    </row>
    <row r="77" spans="16:16">
      <c r="P77" s="42"/>
    </row>
    <row r="78" spans="16:16">
      <c r="P78" s="42"/>
    </row>
    <row r="79" spans="16:16">
      <c r="P79" s="42"/>
    </row>
    <row r="80" spans="16:16">
      <c r="P80" s="42"/>
    </row>
    <row r="81" spans="16:16">
      <c r="P81" s="42"/>
    </row>
    <row r="82" spans="16:16">
      <c r="P82" s="42"/>
    </row>
    <row r="83" spans="16:16">
      <c r="P83" s="42"/>
    </row>
    <row r="84" spans="16:16">
      <c r="P84" s="42"/>
    </row>
    <row r="85" spans="16:16">
      <c r="P85" s="42"/>
    </row>
    <row r="86" spans="16:16">
      <c r="P86" s="42"/>
    </row>
    <row r="87" spans="16:16">
      <c r="P87" s="42"/>
    </row>
    <row r="88" spans="16:16">
      <c r="P88" s="42"/>
    </row>
    <row r="89" spans="16:16">
      <c r="P89" s="42"/>
    </row>
    <row r="90" spans="16:16">
      <c r="P90" s="42"/>
    </row>
    <row r="91" spans="16:16">
      <c r="P91" s="42"/>
    </row>
    <row r="92" spans="16:16">
      <c r="P92" s="42"/>
    </row>
    <row r="93" spans="16:16">
      <c r="P93" s="42"/>
    </row>
    <row r="94" spans="16:16">
      <c r="P94" s="42"/>
    </row>
    <row r="95" spans="16:16">
      <c r="P95" s="42"/>
    </row>
    <row r="96" spans="16:16">
      <c r="P96" s="42"/>
    </row>
  </sheetData>
  <phoneticPr fontId="22" type="noConversion"/>
  <conditionalFormatting sqref="B5:H16">
    <cfRule type="cellIs" dxfId="1" priority="1" stopIfTrue="1" operator="equal">
      <formula>"PASS"</formula>
    </cfRule>
    <cfRule type="cellIs" dxfId="0" priority="2" stopIfTrue="1" operator="equal">
      <formula>"FAIL"</formula>
    </cfRule>
  </conditionalFormatting>
  <printOptions gridLines="1"/>
  <pageMargins left="0.25" right="0.25" top="1" bottom="1" header="0.5" footer="0.5"/>
  <pageSetup scale="66"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96"/>
  <sheetViews>
    <sheetView workbookViewId="0">
      <selection activeCell="L18" sqref="J18:L18"/>
    </sheetView>
  </sheetViews>
  <sheetFormatPr defaultRowHeight="12.75"/>
  <cols>
    <col min="1" max="1" width="40.85546875" customWidth="1"/>
    <col min="2" max="2" width="12.85546875" customWidth="1"/>
    <col min="3" max="3" width="12.5703125" customWidth="1"/>
    <col min="4" max="4" width="8.5703125" customWidth="1"/>
    <col min="5" max="5" width="13.5703125" customWidth="1"/>
    <col min="6" max="6" width="15.42578125" customWidth="1"/>
    <col min="7" max="8" width="9.28515625" customWidth="1"/>
    <col min="9" max="9" width="9.140625" customWidth="1"/>
    <col min="11" max="11" width="10" style="309" customWidth="1"/>
    <col min="12" max="12" width="8.7109375" style="3" customWidth="1"/>
    <col min="13" max="13" width="10.7109375" style="3" customWidth="1"/>
    <col min="14" max="14" width="8.7109375" style="3" customWidth="1"/>
    <col min="15" max="15" width="3" style="3" customWidth="1"/>
    <col min="16" max="22" width="8.7109375" style="41" customWidth="1"/>
    <col min="23" max="23" width="10" style="41" customWidth="1"/>
    <col min="24" max="25" width="8.7109375" style="41" customWidth="1"/>
    <col min="26" max="26" width="8.7109375" customWidth="1"/>
    <col min="27" max="27" width="2.140625" customWidth="1"/>
    <col min="28" max="28" width="16.28515625" style="3" customWidth="1"/>
    <col min="29" max="29" width="12.7109375" style="3" customWidth="1"/>
    <col min="30" max="33" width="8.7109375" customWidth="1"/>
  </cols>
  <sheetData>
    <row r="1" spans="1:35" ht="18.75">
      <c r="A1" s="119" t="s">
        <v>213</v>
      </c>
      <c r="B1" s="21"/>
      <c r="C1" s="21"/>
      <c r="D1" s="21"/>
      <c r="E1" s="21" t="s">
        <v>122</v>
      </c>
      <c r="F1" s="211">
        <f>MIN(B6:B17)</f>
        <v>4.12</v>
      </c>
      <c r="G1" s="21"/>
      <c r="H1" s="21" t="s">
        <v>124</v>
      </c>
      <c r="I1" s="21"/>
      <c r="J1" s="327">
        <f>MIN(H6:H17)</f>
        <v>7.9708442756709923</v>
      </c>
      <c r="K1" s="300"/>
      <c r="L1" s="28"/>
      <c r="M1" s="28"/>
      <c r="N1" s="28"/>
      <c r="O1" s="28"/>
      <c r="P1" s="120"/>
      <c r="Q1" s="84"/>
      <c r="R1" s="85"/>
      <c r="S1" s="85"/>
      <c r="T1" s="85"/>
      <c r="U1" s="85"/>
      <c r="V1" s="85"/>
      <c r="W1" s="85"/>
      <c r="X1" s="85"/>
      <c r="Y1" s="85"/>
      <c r="Z1" s="86"/>
      <c r="AA1" s="87"/>
      <c r="AB1" s="88"/>
      <c r="AC1" s="61"/>
      <c r="AD1" s="1"/>
      <c r="AE1" s="1"/>
      <c r="AF1" s="1"/>
    </row>
    <row r="2" spans="1:35">
      <c r="A2" s="79"/>
      <c r="B2" s="24"/>
      <c r="C2" s="24"/>
      <c r="D2" s="24"/>
      <c r="E2" s="24" t="s">
        <v>123</v>
      </c>
      <c r="F2" s="211">
        <f>MAX(B6:B17)</f>
        <v>272.14999999999998</v>
      </c>
      <c r="G2" s="24"/>
      <c r="H2" s="24" t="s">
        <v>125</v>
      </c>
      <c r="I2" s="24"/>
      <c r="J2" s="326">
        <f>MAX(H6:H17)</f>
        <v>17.321396849601964</v>
      </c>
      <c r="K2" s="301"/>
      <c r="L2" s="121"/>
      <c r="M2" s="52"/>
      <c r="N2" s="52"/>
      <c r="O2" s="52"/>
      <c r="P2" s="122"/>
      <c r="Q2" s="91"/>
      <c r="R2" s="91"/>
      <c r="S2" s="85"/>
      <c r="T2" s="85"/>
      <c r="U2" s="85"/>
      <c r="V2" s="85"/>
      <c r="W2" s="85"/>
      <c r="X2" s="85"/>
      <c r="Y2" s="85"/>
      <c r="Z2" s="86"/>
      <c r="AA2" s="87"/>
      <c r="AB2" s="88"/>
      <c r="AC2" s="61"/>
      <c r="AD2" s="1"/>
      <c r="AE2" s="1"/>
      <c r="AF2" s="1"/>
    </row>
    <row r="3" spans="1:35">
      <c r="A3" s="374"/>
      <c r="B3" s="16" t="s">
        <v>97</v>
      </c>
      <c r="C3" s="23"/>
      <c r="D3" s="23"/>
      <c r="E3" s="23"/>
      <c r="F3" s="23"/>
      <c r="G3" s="23"/>
      <c r="H3" s="23"/>
      <c r="I3" s="23"/>
      <c r="J3" s="16"/>
      <c r="K3" s="302"/>
      <c r="L3" s="28"/>
      <c r="M3" s="23"/>
      <c r="N3" s="23"/>
      <c r="O3" s="23"/>
      <c r="P3" s="123"/>
      <c r="Q3" s="93"/>
      <c r="R3" s="91"/>
      <c r="S3" s="85"/>
      <c r="T3" s="85"/>
      <c r="U3" s="85"/>
      <c r="V3" s="85"/>
      <c r="W3" s="85"/>
      <c r="X3" s="85"/>
      <c r="Y3" s="85"/>
      <c r="Z3" s="86"/>
      <c r="AA3" s="87"/>
      <c r="AB3" s="88"/>
      <c r="AC3" s="61"/>
      <c r="AD3" s="1"/>
      <c r="AE3" s="1"/>
      <c r="AF3" s="1"/>
    </row>
    <row r="4" spans="1:35">
      <c r="A4" s="16"/>
      <c r="B4" s="16"/>
      <c r="C4" s="23"/>
      <c r="D4" s="23"/>
      <c r="E4" s="23" t="s">
        <v>48</v>
      </c>
      <c r="F4" s="23"/>
      <c r="G4" s="23"/>
      <c r="H4" s="23"/>
      <c r="I4" s="23"/>
      <c r="J4" s="23"/>
      <c r="K4" s="302"/>
      <c r="L4" s="28"/>
      <c r="M4" s="23"/>
      <c r="N4" s="23"/>
      <c r="O4" s="23"/>
      <c r="P4" s="123"/>
      <c r="Q4" s="93"/>
      <c r="R4" s="91"/>
      <c r="S4" s="85"/>
      <c r="T4" s="85"/>
      <c r="U4" s="85"/>
      <c r="V4" s="85"/>
      <c r="W4" s="85"/>
      <c r="X4" s="85"/>
      <c r="Y4" s="85"/>
      <c r="Z4" s="86"/>
      <c r="AA4" s="87"/>
      <c r="AB4" s="88"/>
      <c r="AC4" s="61"/>
      <c r="AD4" s="1"/>
      <c r="AE4" s="1"/>
      <c r="AF4" s="1"/>
    </row>
    <row r="5" spans="1:35" ht="25.5">
      <c r="B5" s="39" t="s">
        <v>229</v>
      </c>
      <c r="C5" s="39" t="s">
        <v>94</v>
      </c>
      <c r="D5" s="23" t="s">
        <v>28</v>
      </c>
      <c r="E5" s="23"/>
      <c r="F5" s="23" t="s">
        <v>100</v>
      </c>
      <c r="G5" s="39" t="s">
        <v>135</v>
      </c>
      <c r="H5" s="39" t="s">
        <v>204</v>
      </c>
      <c r="I5" s="39" t="s">
        <v>56</v>
      </c>
      <c r="J5" s="39"/>
      <c r="K5" s="302" t="s">
        <v>65</v>
      </c>
      <c r="L5" s="44" t="s">
        <v>136</v>
      </c>
      <c r="M5" s="20"/>
      <c r="N5" s="28"/>
      <c r="O5" s="28"/>
      <c r="P5" s="120"/>
      <c r="Q5" s="84"/>
      <c r="R5" s="84"/>
      <c r="S5" s="84"/>
      <c r="T5" s="84"/>
      <c r="U5" s="84"/>
      <c r="V5" s="84"/>
      <c r="W5" s="84"/>
      <c r="X5" s="84"/>
      <c r="Y5" s="84"/>
      <c r="Z5" s="83"/>
      <c r="AA5" s="94"/>
      <c r="AB5" s="95"/>
    </row>
    <row r="6" spans="1:35" ht="15">
      <c r="A6" s="349" t="s">
        <v>173</v>
      </c>
      <c r="B6" s="434">
        <v>34.25</v>
      </c>
      <c r="C6" s="296">
        <f>$B$20*B6+$B$21</f>
        <v>44.660392493377607</v>
      </c>
      <c r="D6" s="270">
        <f>RANK(C6,$C$6:$C$17)</f>
        <v>6</v>
      </c>
      <c r="E6" s="192"/>
      <c r="F6" s="436">
        <v>0.22469319500000001</v>
      </c>
      <c r="G6" s="437">
        <v>3.8919999999999999</v>
      </c>
      <c r="H6" s="320">
        <f>+G6/F6</f>
        <v>17.321396849601964</v>
      </c>
      <c r="I6" s="438">
        <f>$F$20*H6+$F$21</f>
        <v>49.999999999999993</v>
      </c>
      <c r="J6" s="206">
        <f>RANK(I6,$I$6:$I$17)</f>
        <v>1</v>
      </c>
      <c r="K6" s="126">
        <f>C6+I6</f>
        <v>94.6603924933776</v>
      </c>
      <c r="L6" s="128"/>
      <c r="M6" s="128"/>
      <c r="N6" s="28"/>
      <c r="O6" s="28"/>
      <c r="P6" s="125"/>
      <c r="Q6" s="84"/>
      <c r="R6" s="84"/>
      <c r="S6" s="84"/>
      <c r="T6" s="84"/>
      <c r="U6" s="84"/>
      <c r="V6" s="84"/>
      <c r="W6" s="84"/>
      <c r="X6" s="84"/>
      <c r="Y6" s="84"/>
      <c r="Z6" s="83"/>
      <c r="AA6" s="94"/>
      <c r="AB6" s="95"/>
      <c r="AH6" s="31"/>
      <c r="AI6" s="31"/>
    </row>
    <row r="7" spans="1:35" ht="15">
      <c r="A7" s="349" t="s">
        <v>174</v>
      </c>
      <c r="B7" s="434">
        <v>7.37</v>
      </c>
      <c r="C7" s="296">
        <f t="shared" ref="C7:C15" si="0">$B$20*B7+$B$21</f>
        <v>49.424038353915606</v>
      </c>
      <c r="D7" s="270">
        <f t="shared" ref="D7:D15" si="1">RANK(C7,$C$6:$C$17)</f>
        <v>3</v>
      </c>
      <c r="E7" s="215"/>
      <c r="F7" s="436">
        <v>0.36172290200000001</v>
      </c>
      <c r="G7" s="437">
        <v>3.9159999999999999</v>
      </c>
      <c r="H7" s="320">
        <f t="shared" ref="H7:H8" si="2">+G7/F7</f>
        <v>10.825966446548081</v>
      </c>
      <c r="I7" s="438">
        <f t="shared" ref="I7:I15" si="3">$F$20*H7+$F$21</f>
        <v>15.267130729990619</v>
      </c>
      <c r="J7" s="206">
        <f t="shared" ref="J7:J15" si="4">RANK(I7,$I$6:$I$17)</f>
        <v>6</v>
      </c>
      <c r="K7" s="126">
        <f t="shared" ref="K7:K15" si="5">C7+I7</f>
        <v>64.691169083906232</v>
      </c>
      <c r="L7" s="128"/>
      <c r="M7" s="128"/>
      <c r="N7" s="28"/>
      <c r="O7" s="28"/>
      <c r="P7" s="120"/>
      <c r="Q7" s="84"/>
      <c r="R7" s="84"/>
      <c r="S7" s="84"/>
      <c r="T7" s="84"/>
      <c r="U7" s="84"/>
      <c r="V7" s="84"/>
      <c r="W7" s="84"/>
      <c r="X7" s="84"/>
      <c r="Y7" s="84"/>
      <c r="Z7" s="83"/>
      <c r="AA7" s="94"/>
      <c r="AB7" s="95"/>
      <c r="AH7" s="31"/>
      <c r="AI7" s="31"/>
    </row>
    <row r="8" spans="1:35" ht="15">
      <c r="A8" s="349" t="s">
        <v>175</v>
      </c>
      <c r="B8" s="434">
        <v>136.91</v>
      </c>
      <c r="C8" s="296">
        <f t="shared" si="0"/>
        <v>26.467093235831808</v>
      </c>
      <c r="D8" s="270">
        <f t="shared" si="1"/>
        <v>8</v>
      </c>
      <c r="E8" s="215"/>
      <c r="F8" s="436">
        <v>0.30047526699999999</v>
      </c>
      <c r="G8" s="437">
        <v>3.9049999999999998</v>
      </c>
      <c r="H8" s="320">
        <f t="shared" si="2"/>
        <v>12.996077976694169</v>
      </c>
      <c r="I8" s="438">
        <f t="shared" si="3"/>
        <v>26.871319428935998</v>
      </c>
      <c r="J8" s="206">
        <f t="shared" si="4"/>
        <v>4</v>
      </c>
      <c r="K8" s="126">
        <f t="shared" si="5"/>
        <v>53.338412664767802</v>
      </c>
      <c r="L8" s="128"/>
      <c r="M8" s="128"/>
      <c r="N8" s="28"/>
      <c r="O8" s="28"/>
      <c r="P8" s="120"/>
      <c r="Q8" s="84"/>
      <c r="R8" s="84"/>
      <c r="S8" s="84"/>
      <c r="T8" s="84"/>
      <c r="U8" s="84"/>
      <c r="V8" s="84"/>
      <c r="W8" s="84"/>
      <c r="X8" s="84"/>
      <c r="Y8" s="84"/>
      <c r="Z8" s="83"/>
      <c r="AA8" s="94"/>
      <c r="AB8" s="95"/>
      <c r="AH8" s="31"/>
      <c r="AI8" s="31"/>
    </row>
    <row r="9" spans="1:35" s="218" customFormat="1" ht="15">
      <c r="A9" s="355" t="s">
        <v>176</v>
      </c>
      <c r="B9" s="434"/>
      <c r="C9" s="296"/>
      <c r="D9" s="270"/>
      <c r="E9" s="256"/>
      <c r="F9" s="436"/>
      <c r="G9" s="437"/>
      <c r="H9" s="321"/>
      <c r="I9" s="438"/>
      <c r="J9" s="206"/>
      <c r="K9" s="126"/>
      <c r="L9" s="323" t="s">
        <v>48</v>
      </c>
      <c r="M9" s="261"/>
      <c r="N9" s="254"/>
      <c r="O9" s="254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24"/>
      <c r="AB9" s="221"/>
      <c r="AC9" s="221"/>
      <c r="AH9" s="260"/>
      <c r="AI9" s="260"/>
    </row>
    <row r="10" spans="1:35" s="218" customFormat="1" ht="15">
      <c r="A10" s="349" t="s">
        <v>177</v>
      </c>
      <c r="B10" s="435">
        <v>20.27</v>
      </c>
      <c r="C10" s="296">
        <f t="shared" si="0"/>
        <v>47.137913666380626</v>
      </c>
      <c r="D10" s="270">
        <f t="shared" si="1"/>
        <v>4</v>
      </c>
      <c r="E10" s="256"/>
      <c r="F10" s="436">
        <v>0.270800706</v>
      </c>
      <c r="G10" s="437">
        <v>3.89</v>
      </c>
      <c r="H10" s="320">
        <f>+G10/F10</f>
        <v>14.364807453640834</v>
      </c>
      <c r="I10" s="438">
        <f t="shared" si="3"/>
        <v>34.190295853723107</v>
      </c>
      <c r="J10" s="206">
        <f t="shared" si="4"/>
        <v>3</v>
      </c>
      <c r="K10" s="126">
        <f t="shared" si="5"/>
        <v>81.328209520103741</v>
      </c>
      <c r="L10" s="261"/>
      <c r="M10" s="261"/>
      <c r="N10" s="254"/>
      <c r="O10" s="254"/>
      <c r="P10" s="262"/>
      <c r="Q10" s="262"/>
      <c r="R10" s="262"/>
      <c r="S10" s="262"/>
      <c r="T10" s="259"/>
      <c r="U10" s="259"/>
      <c r="V10" s="259"/>
      <c r="W10" s="259"/>
      <c r="X10" s="259"/>
      <c r="Y10" s="259"/>
      <c r="Z10" s="224"/>
      <c r="AB10" s="221"/>
      <c r="AC10" s="221"/>
      <c r="AH10" s="260"/>
      <c r="AI10" s="260"/>
    </row>
    <row r="11" spans="1:35" ht="15">
      <c r="A11" s="356" t="s">
        <v>178</v>
      </c>
      <c r="B11" s="434">
        <v>33.06</v>
      </c>
      <c r="C11" s="296">
        <f t="shared" si="0"/>
        <v>44.871283065328505</v>
      </c>
      <c r="D11" s="270">
        <f t="shared" si="1"/>
        <v>5</v>
      </c>
      <c r="E11" s="192"/>
      <c r="F11" s="436">
        <v>0.48890680399999997</v>
      </c>
      <c r="G11" s="437">
        <v>3.8969999999999998</v>
      </c>
      <c r="H11" s="320">
        <f t="shared" ref="H11:H15" si="6">+G11/F11</f>
        <v>7.9708442756709923</v>
      </c>
      <c r="I11" s="438">
        <f t="shared" si="3"/>
        <v>0</v>
      </c>
      <c r="J11" s="206">
        <f t="shared" si="4"/>
        <v>9</v>
      </c>
      <c r="K11" s="126">
        <f t="shared" si="5"/>
        <v>44.871283065328505</v>
      </c>
      <c r="L11" s="128"/>
      <c r="M11" s="128"/>
      <c r="N11" s="28"/>
      <c r="O11" s="28"/>
      <c r="P11" s="125"/>
      <c r="Q11" s="97"/>
      <c r="R11" s="97"/>
      <c r="S11" s="97"/>
      <c r="T11" s="84"/>
      <c r="U11" s="84"/>
      <c r="V11" s="84"/>
      <c r="W11" s="84"/>
      <c r="X11" s="84"/>
      <c r="Y11" s="84"/>
      <c r="Z11" s="83"/>
      <c r="AA11" s="94"/>
      <c r="AB11" s="95"/>
      <c r="AH11" s="31"/>
      <c r="AI11" s="31"/>
    </row>
    <row r="12" spans="1:35" ht="15">
      <c r="A12" s="355" t="s">
        <v>179</v>
      </c>
      <c r="B12" s="434">
        <v>272.14999999999998</v>
      </c>
      <c r="C12" s="296">
        <f t="shared" si="0"/>
        <v>2.5</v>
      </c>
      <c r="D12" s="270">
        <f t="shared" si="1"/>
        <v>9</v>
      </c>
      <c r="E12" s="192"/>
      <c r="F12" s="436">
        <v>0.456291273</v>
      </c>
      <c r="G12" s="437">
        <v>3.9129999999999998</v>
      </c>
      <c r="H12" s="320">
        <f t="shared" si="6"/>
        <v>8.5756625899790109</v>
      </c>
      <c r="I12" s="438">
        <f t="shared" si="3"/>
        <v>3.234131403069334</v>
      </c>
      <c r="J12" s="206">
        <f t="shared" si="4"/>
        <v>8</v>
      </c>
      <c r="K12" s="126">
        <f t="shared" si="5"/>
        <v>5.734131403069334</v>
      </c>
      <c r="L12" s="128"/>
      <c r="M12" s="128"/>
      <c r="N12" s="28"/>
      <c r="O12" s="28"/>
      <c r="P12" s="125"/>
      <c r="Q12" s="97"/>
      <c r="R12" s="97"/>
      <c r="S12" s="97"/>
      <c r="T12" s="84"/>
      <c r="U12" s="84"/>
      <c r="V12" s="84"/>
      <c r="W12" s="84"/>
      <c r="X12" s="84"/>
      <c r="Y12" s="84"/>
      <c r="Z12" s="83"/>
      <c r="AA12" s="94"/>
      <c r="AB12" s="95"/>
      <c r="AH12" s="31"/>
      <c r="AI12" s="31"/>
    </row>
    <row r="13" spans="1:35" ht="15">
      <c r="A13" s="356" t="s">
        <v>180</v>
      </c>
      <c r="B13" s="434">
        <v>70.41</v>
      </c>
      <c r="C13" s="296">
        <f t="shared" si="0"/>
        <v>38.25215460955863</v>
      </c>
      <c r="D13" s="270">
        <f t="shared" si="1"/>
        <v>7</v>
      </c>
      <c r="E13" s="215"/>
      <c r="F13" s="436">
        <v>0.38123931900000002</v>
      </c>
      <c r="G13" s="437">
        <v>3.911</v>
      </c>
      <c r="H13" s="320">
        <f t="shared" si="6"/>
        <v>10.258648059330941</v>
      </c>
      <c r="I13" s="438">
        <f t="shared" si="3"/>
        <v>12.233521845747752</v>
      </c>
      <c r="J13" s="206">
        <f t="shared" si="4"/>
        <v>7</v>
      </c>
      <c r="K13" s="126">
        <f t="shared" si="5"/>
        <v>50.485676455306383</v>
      </c>
      <c r="L13" s="128"/>
      <c r="M13" s="128"/>
      <c r="N13" s="28"/>
      <c r="O13" s="28"/>
      <c r="P13" s="120"/>
      <c r="Q13" s="84"/>
      <c r="R13" s="84"/>
      <c r="S13" s="84"/>
      <c r="T13" s="84"/>
      <c r="U13" s="84"/>
      <c r="V13" s="84"/>
      <c r="W13" s="84"/>
      <c r="X13" s="84"/>
      <c r="Y13" s="84"/>
      <c r="Z13" s="83"/>
      <c r="AA13" s="94"/>
      <c r="AB13" s="95"/>
      <c r="AH13" s="31"/>
      <c r="AI13" s="31"/>
    </row>
    <row r="14" spans="1:35" ht="15">
      <c r="A14" s="356" t="s">
        <v>181</v>
      </c>
      <c r="B14" s="434">
        <v>7.04</v>
      </c>
      <c r="C14" s="296">
        <f t="shared" si="0"/>
        <v>49.482520613364173</v>
      </c>
      <c r="D14" s="270">
        <f t="shared" si="1"/>
        <v>2</v>
      </c>
      <c r="E14" s="192"/>
      <c r="F14" s="436">
        <v>0.231957634</v>
      </c>
      <c r="G14" s="437">
        <v>3.8959999999999999</v>
      </c>
      <c r="H14" s="320">
        <f t="shared" si="6"/>
        <v>16.796170631745621</v>
      </c>
      <c r="I14" s="438">
        <f t="shared" si="3"/>
        <v>47.191469628647091</v>
      </c>
      <c r="J14" s="206">
        <f t="shared" si="4"/>
        <v>2</v>
      </c>
      <c r="K14" s="126">
        <f t="shared" si="5"/>
        <v>96.673990242011257</v>
      </c>
      <c r="L14" s="128"/>
      <c r="M14" s="128"/>
      <c r="N14" s="28"/>
      <c r="O14" s="28"/>
      <c r="P14" s="120"/>
      <c r="Q14" s="84"/>
      <c r="R14" s="84"/>
      <c r="S14" s="84"/>
      <c r="T14" s="84"/>
      <c r="U14" s="84"/>
      <c r="V14" s="84"/>
      <c r="W14" s="84"/>
      <c r="X14" s="84"/>
      <c r="Y14" s="84"/>
      <c r="Z14" s="83"/>
      <c r="AA14" s="94"/>
      <c r="AB14" s="95"/>
      <c r="AH14" s="31"/>
      <c r="AI14" s="31"/>
    </row>
    <row r="15" spans="1:35" s="143" customFormat="1" ht="15">
      <c r="A15" s="356" t="s">
        <v>182</v>
      </c>
      <c r="B15" s="398">
        <v>4.12</v>
      </c>
      <c r="C15" s="296">
        <f t="shared" si="0"/>
        <v>50</v>
      </c>
      <c r="D15" s="270">
        <f t="shared" si="1"/>
        <v>1</v>
      </c>
      <c r="E15" s="192"/>
      <c r="F15" s="436">
        <v>0.33979772400000002</v>
      </c>
      <c r="G15" s="437">
        <v>3.8980000000000001</v>
      </c>
      <c r="H15" s="320">
        <f t="shared" si="6"/>
        <v>11.471530633324665</v>
      </c>
      <c r="I15" s="438">
        <f t="shared" si="3"/>
        <v>18.719141622782111</v>
      </c>
      <c r="J15" s="206">
        <f t="shared" si="4"/>
        <v>5</v>
      </c>
      <c r="K15" s="126">
        <f t="shared" si="5"/>
        <v>68.719141622782104</v>
      </c>
      <c r="L15" s="153"/>
      <c r="M15" s="153"/>
      <c r="N15" s="152"/>
      <c r="O15" s="152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37"/>
      <c r="AA15" s="146"/>
      <c r="AB15" s="145"/>
      <c r="AC15" s="142"/>
      <c r="AH15" s="155"/>
      <c r="AI15" s="155"/>
    </row>
    <row r="16" spans="1:35" ht="15">
      <c r="A16" s="356" t="s">
        <v>183</v>
      </c>
      <c r="B16" s="434"/>
      <c r="C16" s="296"/>
      <c r="D16" s="270"/>
      <c r="E16" s="192"/>
      <c r="F16" s="436"/>
      <c r="G16" s="437"/>
      <c r="H16" s="322"/>
      <c r="I16" s="273"/>
      <c r="J16" s="206"/>
      <c r="K16" s="126"/>
      <c r="L16" s="40"/>
      <c r="M16" s="40"/>
      <c r="N16" s="40"/>
      <c r="O16" s="40"/>
      <c r="P16" s="127"/>
      <c r="Q16" s="99"/>
      <c r="R16" s="99"/>
      <c r="S16" s="100"/>
      <c r="T16" s="100"/>
      <c r="U16" s="100"/>
      <c r="V16" s="100"/>
      <c r="W16" s="100"/>
      <c r="X16" s="100"/>
      <c r="Y16" s="100"/>
      <c r="Z16" s="101"/>
      <c r="AA16" s="102"/>
      <c r="AB16" s="103"/>
      <c r="AC16" s="48"/>
      <c r="AD16" s="32"/>
      <c r="AE16" s="32"/>
      <c r="AF16" s="32"/>
      <c r="AG16" s="32"/>
      <c r="AH16" s="31"/>
      <c r="AI16" s="31"/>
    </row>
    <row r="17" spans="1:35" ht="15">
      <c r="A17" s="356" t="s">
        <v>184</v>
      </c>
      <c r="B17" s="434"/>
      <c r="C17" s="296"/>
      <c r="D17" s="270"/>
      <c r="E17" s="192"/>
      <c r="F17" s="436"/>
      <c r="G17" s="437"/>
      <c r="H17" s="321"/>
      <c r="I17" s="273"/>
      <c r="J17" s="206"/>
      <c r="K17" s="126"/>
      <c r="L17" s="40"/>
      <c r="M17" s="40"/>
      <c r="N17" s="40"/>
      <c r="O17" s="40"/>
      <c r="P17" s="127"/>
      <c r="Q17" s="99"/>
      <c r="R17" s="99"/>
      <c r="S17" s="100"/>
      <c r="T17" s="100"/>
      <c r="U17" s="100"/>
      <c r="V17" s="100"/>
      <c r="W17" s="100"/>
      <c r="X17" s="100"/>
      <c r="Y17" s="100"/>
      <c r="Z17" s="101"/>
      <c r="AA17" s="102"/>
      <c r="AB17" s="103"/>
      <c r="AC17" s="48"/>
      <c r="AD17" s="32"/>
      <c r="AE17" s="32"/>
      <c r="AF17" s="32"/>
      <c r="AG17" s="32"/>
      <c r="AH17" s="31"/>
      <c r="AI17" s="31"/>
    </row>
    <row r="18" spans="1:35">
      <c r="A18" s="89"/>
      <c r="B18" s="134"/>
      <c r="C18" s="98"/>
      <c r="D18" s="98"/>
      <c r="E18" s="98"/>
      <c r="F18" s="98"/>
      <c r="G18" s="98"/>
      <c r="H18" s="98"/>
      <c r="I18" s="98"/>
      <c r="J18" s="98"/>
      <c r="K18" s="303"/>
      <c r="L18" s="98"/>
      <c r="M18" s="98"/>
      <c r="N18" s="105"/>
      <c r="O18" s="96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06"/>
      <c r="AA18" s="112"/>
      <c r="AB18" s="116"/>
      <c r="AC18" s="48"/>
      <c r="AD18" s="32"/>
      <c r="AE18" s="32"/>
      <c r="AF18" s="32"/>
      <c r="AG18" s="32"/>
      <c r="AH18" s="31"/>
      <c r="AI18" s="31"/>
    </row>
    <row r="19" spans="1:35">
      <c r="A19" s="89"/>
      <c r="B19" s="98"/>
      <c r="C19" s="98"/>
      <c r="D19" s="98"/>
      <c r="E19" s="98"/>
      <c r="F19" s="98"/>
      <c r="G19" s="98"/>
      <c r="H19" s="98"/>
      <c r="I19" s="98"/>
      <c r="J19" s="98"/>
      <c r="K19" s="303"/>
      <c r="L19" s="98"/>
      <c r="M19" s="98"/>
      <c r="N19" s="105"/>
      <c r="O19" s="96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06"/>
      <c r="AA19" s="112"/>
      <c r="AB19" s="116"/>
      <c r="AC19" s="48"/>
      <c r="AD19" s="32"/>
      <c r="AE19" s="32"/>
      <c r="AF19" s="32"/>
      <c r="AG19" s="32"/>
      <c r="AH19" s="31"/>
      <c r="AI19" s="31"/>
    </row>
    <row r="20" spans="1:35" ht="15">
      <c r="A20" s="89" t="s">
        <v>230</v>
      </c>
      <c r="B20" s="442">
        <f>(50-2.5)/(F1-F2)</f>
        <v>-0.17721896802596726</v>
      </c>
      <c r="D20" s="141"/>
      <c r="E20" s="98"/>
      <c r="F20" s="442">
        <f>(50)/(J2-J1)</f>
        <v>5.3472775651139939</v>
      </c>
      <c r="G20" s="98"/>
      <c r="I20" s="98"/>
      <c r="J20" s="98"/>
      <c r="K20" s="303"/>
      <c r="L20" s="98"/>
      <c r="M20" s="98"/>
      <c r="N20" s="105"/>
      <c r="O20" s="96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06"/>
      <c r="AA20" s="117"/>
      <c r="AB20" s="116"/>
    </row>
    <row r="21" spans="1:35" ht="15">
      <c r="A21" s="89" t="s">
        <v>231</v>
      </c>
      <c r="B21" s="443">
        <f>2.5-(B20*F2)</f>
        <v>50.730142148266985</v>
      </c>
      <c r="D21" s="186" t="s">
        <v>48</v>
      </c>
      <c r="E21" s="98"/>
      <c r="F21" s="443">
        <f>-(F20*J1)</f>
        <v>-42.6223167703128</v>
      </c>
      <c r="G21" s="98"/>
      <c r="I21" s="98"/>
      <c r="J21" s="98"/>
      <c r="K21" s="303"/>
      <c r="L21" s="98"/>
      <c r="M21" s="98"/>
      <c r="N21" s="105"/>
      <c r="O21" s="96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06"/>
      <c r="AA21" s="117"/>
      <c r="AB21" s="116"/>
    </row>
    <row r="22" spans="1:35" ht="15">
      <c r="A22" s="89"/>
      <c r="B22" s="90"/>
      <c r="C22" s="185"/>
      <c r="D22" s="185"/>
      <c r="E22" s="90"/>
      <c r="F22" s="90"/>
      <c r="G22" s="90"/>
      <c r="H22" s="90"/>
      <c r="I22" s="90"/>
      <c r="J22" s="90"/>
      <c r="K22" s="303"/>
      <c r="L22" s="90"/>
      <c r="M22" s="90"/>
      <c r="N22" s="105"/>
      <c r="O22" s="96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106"/>
      <c r="AA22" s="117"/>
      <c r="AB22" s="116"/>
    </row>
    <row r="23" spans="1:35">
      <c r="A23" s="89"/>
      <c r="B23" s="98"/>
      <c r="C23" s="98" t="s">
        <v>48</v>
      </c>
      <c r="D23" s="188" t="s">
        <v>48</v>
      </c>
      <c r="E23" s="98"/>
      <c r="F23" s="98"/>
      <c r="G23" s="98"/>
      <c r="H23" s="98"/>
      <c r="I23" s="98"/>
      <c r="J23" s="98"/>
      <c r="K23" s="303"/>
      <c r="L23" s="98"/>
      <c r="M23" s="98"/>
      <c r="N23" s="105"/>
      <c r="O23" s="96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06"/>
      <c r="AA23" s="117"/>
      <c r="AB23" s="116"/>
    </row>
    <row r="24" spans="1:35">
      <c r="A24" s="89"/>
      <c r="B24" s="98"/>
      <c r="C24" s="98" t="s">
        <v>88</v>
      </c>
      <c r="D24" s="98"/>
      <c r="E24" s="98"/>
      <c r="F24" s="98"/>
      <c r="G24" s="98"/>
      <c r="H24" s="98"/>
      <c r="I24" s="98"/>
      <c r="J24" s="98"/>
      <c r="K24" s="303"/>
      <c r="L24" s="98"/>
      <c r="M24" s="98"/>
      <c r="N24" s="105"/>
      <c r="O24" s="96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06"/>
      <c r="AA24" s="117"/>
      <c r="AB24" s="116"/>
    </row>
    <row r="25" spans="1:35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303"/>
      <c r="L25" s="90"/>
      <c r="M25" s="90"/>
      <c r="N25" s="105"/>
      <c r="O25" s="96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106"/>
      <c r="AA25" s="117"/>
      <c r="AB25" s="116"/>
    </row>
    <row r="26" spans="1:35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303"/>
      <c r="L26" s="90"/>
      <c r="M26" s="90"/>
      <c r="N26" s="105"/>
      <c r="O26" s="96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106"/>
      <c r="AA26" s="117"/>
      <c r="AB26" s="116"/>
    </row>
    <row r="27" spans="1:35">
      <c r="A27" s="89"/>
      <c r="B27" s="98"/>
      <c r="C27" s="98"/>
      <c r="D27" s="98"/>
      <c r="E27" s="98"/>
      <c r="F27" s="98"/>
      <c r="G27" s="98"/>
      <c r="H27" s="98"/>
      <c r="I27" s="98"/>
      <c r="J27" s="98"/>
      <c r="K27" s="303"/>
      <c r="L27" s="98"/>
      <c r="M27" s="98"/>
      <c r="N27" s="105"/>
      <c r="O27" s="96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06"/>
      <c r="AA27" s="117"/>
      <c r="AB27" s="116"/>
    </row>
    <row r="28" spans="1:35">
      <c r="A28" s="89"/>
      <c r="B28" s="98"/>
      <c r="C28" s="98"/>
      <c r="D28" s="98"/>
      <c r="E28" s="98"/>
      <c r="F28" s="98"/>
      <c r="G28" s="98"/>
      <c r="H28" s="98"/>
      <c r="I28" s="98"/>
      <c r="J28" s="98"/>
      <c r="K28" s="303"/>
      <c r="L28" s="98"/>
      <c r="M28" s="98"/>
      <c r="N28" s="105"/>
      <c r="O28" s="96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06"/>
      <c r="AA28" s="117"/>
      <c r="AB28" s="116"/>
    </row>
    <row r="29" spans="1:35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303"/>
      <c r="L29" s="90"/>
      <c r="M29" s="90"/>
      <c r="N29" s="105"/>
      <c r="O29" s="96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106"/>
      <c r="AA29" s="117"/>
      <c r="AB29" s="116"/>
    </row>
    <row r="30" spans="1:35">
      <c r="A30" s="89"/>
      <c r="B30" s="118"/>
      <c r="C30" s="98"/>
      <c r="D30" s="98"/>
      <c r="E30" s="98"/>
      <c r="F30" s="98"/>
      <c r="G30" s="98"/>
      <c r="H30" s="98"/>
      <c r="I30" s="98"/>
      <c r="J30" s="98"/>
      <c r="K30" s="303"/>
      <c r="L30" s="98"/>
      <c r="M30" s="98"/>
      <c r="N30" s="105"/>
      <c r="O30" s="96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06"/>
      <c r="AA30" s="117"/>
      <c r="AB30" s="116"/>
    </row>
    <row r="31" spans="1:35">
      <c r="A31" s="89"/>
      <c r="B31" s="98"/>
      <c r="C31" s="98"/>
      <c r="D31" s="98"/>
      <c r="E31" s="98"/>
      <c r="F31" s="98"/>
      <c r="G31" s="98"/>
      <c r="H31" s="98"/>
      <c r="I31" s="98"/>
      <c r="J31" s="98"/>
      <c r="K31" s="303"/>
      <c r="L31" s="98"/>
      <c r="M31" s="98"/>
      <c r="N31" s="106"/>
      <c r="O31" s="96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06"/>
      <c r="AA31" s="117"/>
      <c r="AB31" s="88"/>
    </row>
    <row r="32" spans="1:35">
      <c r="A32" s="89"/>
      <c r="B32" s="90"/>
      <c r="C32" s="90"/>
      <c r="D32" s="181"/>
      <c r="E32" s="75"/>
      <c r="F32" s="75"/>
      <c r="G32" s="90"/>
      <c r="H32" s="90"/>
      <c r="I32" s="90"/>
      <c r="J32" s="90"/>
      <c r="K32" s="303"/>
      <c r="L32" s="90"/>
      <c r="M32" s="90"/>
      <c r="N32" s="105"/>
      <c r="O32" s="96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106"/>
      <c r="AA32" s="117"/>
      <c r="AB32" s="116"/>
    </row>
    <row r="33" spans="1:28">
      <c r="A33" s="89"/>
      <c r="B33" s="98"/>
      <c r="C33" s="98"/>
      <c r="D33" s="75"/>
      <c r="E33" s="75"/>
      <c r="F33" s="180"/>
      <c r="G33" s="176"/>
      <c r="H33" s="176"/>
      <c r="I33" s="176"/>
      <c r="J33" s="98"/>
      <c r="K33" s="303"/>
      <c r="L33" s="98"/>
      <c r="M33" s="98"/>
      <c r="N33" s="105"/>
      <c r="O33" s="96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06"/>
      <c r="AA33" s="117"/>
      <c r="AB33" s="116"/>
    </row>
    <row r="34" spans="1:28">
      <c r="A34" s="83"/>
      <c r="B34" s="98"/>
      <c r="C34" s="90"/>
      <c r="D34" s="75"/>
      <c r="E34" s="75"/>
      <c r="F34" s="75"/>
      <c r="G34" s="90"/>
      <c r="H34" s="90"/>
      <c r="I34" s="90"/>
      <c r="J34" s="90"/>
      <c r="K34" s="303"/>
      <c r="L34" s="90"/>
      <c r="M34" s="90"/>
      <c r="N34" s="105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106"/>
      <c r="AA34" s="117"/>
      <c r="AB34" s="116"/>
    </row>
    <row r="35" spans="1:28">
      <c r="A35" s="83"/>
      <c r="B35" s="90"/>
      <c r="C35" s="90"/>
      <c r="D35" s="90"/>
      <c r="E35" s="90"/>
      <c r="F35" s="90"/>
      <c r="G35" s="90"/>
      <c r="H35" s="90"/>
      <c r="I35" s="90"/>
      <c r="J35" s="90"/>
      <c r="K35" s="303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117"/>
      <c r="AB35" s="88"/>
    </row>
    <row r="36" spans="1:28">
      <c r="A36" s="83"/>
      <c r="B36" s="90"/>
      <c r="C36" s="90"/>
      <c r="D36" s="90"/>
      <c r="E36" s="90"/>
      <c r="F36" s="90"/>
      <c r="G36" s="90"/>
      <c r="H36" s="90"/>
      <c r="I36" s="90"/>
      <c r="J36" s="90"/>
      <c r="K36" s="303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117"/>
      <c r="AB36" s="88"/>
    </row>
    <row r="37" spans="1:28">
      <c r="A37" s="108"/>
      <c r="B37" s="92"/>
      <c r="C37" s="92"/>
      <c r="D37" s="92"/>
      <c r="E37" s="92"/>
      <c r="F37" s="92"/>
      <c r="G37" s="92"/>
      <c r="H37" s="92"/>
      <c r="I37" s="92"/>
      <c r="J37" s="92"/>
      <c r="K37" s="304"/>
      <c r="L37" s="92"/>
      <c r="M37" s="92"/>
      <c r="N37" s="92"/>
      <c r="O37" s="90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117"/>
      <c r="AB37" s="88"/>
    </row>
    <row r="38" spans="1:28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303"/>
      <c r="L38" s="90"/>
      <c r="M38" s="90"/>
      <c r="N38" s="105"/>
      <c r="O38" s="96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106"/>
      <c r="AA38" s="117"/>
      <c r="AB38" s="116"/>
    </row>
    <row r="39" spans="1:28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303"/>
      <c r="L39" s="90"/>
      <c r="M39" s="90"/>
      <c r="N39" s="105"/>
      <c r="O39" s="96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106"/>
      <c r="AA39" s="117"/>
      <c r="AB39" s="116"/>
    </row>
    <row r="40" spans="1:28">
      <c r="A40" s="89"/>
      <c r="B40" s="90"/>
      <c r="C40" s="90"/>
      <c r="D40" s="90"/>
      <c r="E40" s="90"/>
      <c r="F40" s="90"/>
      <c r="G40" s="90"/>
      <c r="H40" s="90"/>
      <c r="I40" s="90"/>
      <c r="J40" s="90"/>
      <c r="K40" s="303"/>
      <c r="L40" s="90"/>
      <c r="M40" s="90"/>
      <c r="N40" s="105"/>
      <c r="O40" s="96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106"/>
      <c r="AA40" s="117"/>
      <c r="AB40" s="116"/>
    </row>
    <row r="41" spans="1:28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303"/>
      <c r="L41" s="90"/>
      <c r="M41" s="90"/>
      <c r="N41" s="105"/>
      <c r="O41" s="96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106"/>
      <c r="AA41" s="117"/>
      <c r="AB41" s="116"/>
    </row>
    <row r="42" spans="1:28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303"/>
      <c r="L42" s="90"/>
      <c r="M42" s="90"/>
      <c r="N42" s="105"/>
      <c r="O42" s="96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106"/>
      <c r="AA42" s="117"/>
      <c r="AB42" s="116"/>
    </row>
    <row r="43" spans="1:28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303"/>
      <c r="L43" s="90"/>
      <c r="M43" s="90"/>
      <c r="N43" s="105"/>
      <c r="O43" s="96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106"/>
      <c r="AA43" s="117"/>
      <c r="AB43" s="116"/>
    </row>
    <row r="44" spans="1:28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303"/>
      <c r="L44" s="90"/>
      <c r="M44" s="90"/>
      <c r="N44" s="105"/>
      <c r="O44" s="96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106"/>
      <c r="AA44" s="117"/>
      <c r="AB44" s="116"/>
    </row>
    <row r="45" spans="1:28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303"/>
      <c r="L45" s="90"/>
      <c r="M45" s="90"/>
      <c r="N45" s="105"/>
      <c r="O45" s="96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106"/>
      <c r="AA45" s="117"/>
      <c r="AB45" s="116"/>
    </row>
    <row r="46" spans="1:28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303"/>
      <c r="L46" s="90"/>
      <c r="M46" s="90"/>
      <c r="N46" s="105"/>
      <c r="O46" s="96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106"/>
      <c r="AA46" s="117"/>
      <c r="AB46" s="116"/>
    </row>
    <row r="47" spans="1:28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303"/>
      <c r="L47" s="90"/>
      <c r="M47" s="90"/>
      <c r="N47" s="105"/>
      <c r="O47" s="96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106"/>
      <c r="AA47" s="117"/>
      <c r="AB47" s="116"/>
    </row>
    <row r="48" spans="1:28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303"/>
      <c r="L48" s="90"/>
      <c r="M48" s="90"/>
      <c r="N48" s="105"/>
      <c r="O48" s="96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106"/>
      <c r="AA48" s="117"/>
      <c r="AB48" s="116"/>
    </row>
    <row r="49" spans="1:28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303"/>
      <c r="L49" s="90"/>
      <c r="M49" s="90"/>
      <c r="N49" s="105"/>
      <c r="O49" s="96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106"/>
      <c r="AA49" s="117"/>
      <c r="AB49" s="116"/>
    </row>
    <row r="50" spans="1:28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303"/>
      <c r="L50" s="90"/>
      <c r="M50" s="90"/>
      <c r="N50" s="105"/>
      <c r="O50" s="96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106"/>
      <c r="AA50" s="117"/>
      <c r="AB50" s="116"/>
    </row>
    <row r="51" spans="1:28">
      <c r="A51" s="89"/>
      <c r="B51" s="98"/>
      <c r="C51" s="98"/>
      <c r="D51" s="98"/>
      <c r="E51" s="98"/>
      <c r="F51" s="98"/>
      <c r="G51" s="98"/>
      <c r="H51" s="98"/>
      <c r="I51" s="98"/>
      <c r="J51" s="98"/>
      <c r="K51" s="303"/>
      <c r="L51" s="98"/>
      <c r="M51" s="98"/>
      <c r="N51" s="106"/>
      <c r="O51" s="96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106"/>
      <c r="AA51" s="117"/>
      <c r="AB51" s="88"/>
    </row>
    <row r="52" spans="1:28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303"/>
      <c r="L52" s="90"/>
      <c r="M52" s="90"/>
      <c r="N52" s="105"/>
      <c r="O52" s="96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106"/>
      <c r="AA52" s="117"/>
      <c r="AB52" s="116"/>
    </row>
    <row r="53" spans="1:28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303"/>
      <c r="L53" s="90"/>
      <c r="M53" s="90"/>
      <c r="N53" s="105"/>
      <c r="O53" s="96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106"/>
      <c r="AA53" s="117"/>
      <c r="AB53" s="116"/>
    </row>
    <row r="54" spans="1:28">
      <c r="A54" s="94"/>
      <c r="B54" s="117"/>
      <c r="C54" s="117"/>
      <c r="D54" s="117"/>
      <c r="E54" s="117"/>
      <c r="F54" s="117"/>
      <c r="G54" s="117"/>
      <c r="H54" s="117"/>
      <c r="I54" s="117"/>
      <c r="J54" s="117"/>
      <c r="K54" s="305"/>
      <c r="L54" s="117"/>
      <c r="M54" s="117"/>
      <c r="N54" s="109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0"/>
      <c r="AA54" s="117"/>
      <c r="AB54" s="88"/>
    </row>
    <row r="55" spans="1:28">
      <c r="A55" s="94"/>
      <c r="B55" s="117"/>
      <c r="C55" s="117"/>
      <c r="D55" s="117"/>
      <c r="E55" s="117"/>
      <c r="F55" s="117"/>
      <c r="G55" s="117"/>
      <c r="H55" s="117"/>
      <c r="I55" s="117"/>
      <c r="J55" s="117"/>
      <c r="K55" s="305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88"/>
    </row>
    <row r="56" spans="1:28">
      <c r="A56" s="94"/>
      <c r="B56" s="88"/>
      <c r="C56" s="88"/>
      <c r="D56" s="88"/>
      <c r="E56" s="88"/>
      <c r="F56" s="88"/>
      <c r="G56" s="88"/>
      <c r="H56" s="88"/>
      <c r="I56" s="88"/>
      <c r="J56" s="88"/>
      <c r="K56" s="306"/>
      <c r="L56" s="88"/>
      <c r="M56" s="88"/>
      <c r="N56" s="117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</row>
    <row r="57" spans="1:28">
      <c r="A57" s="94"/>
      <c r="B57" s="95"/>
      <c r="C57" s="95"/>
      <c r="D57" s="95"/>
      <c r="E57" s="95"/>
      <c r="F57" s="95"/>
      <c r="G57" s="95"/>
      <c r="H57" s="95"/>
      <c r="I57" s="95"/>
      <c r="J57" s="95"/>
      <c r="K57" s="307"/>
      <c r="L57" s="95"/>
      <c r="M57" s="95"/>
      <c r="N57" s="107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</row>
    <row r="58" spans="1:28">
      <c r="A58" s="94"/>
      <c r="B58" s="95"/>
      <c r="C58" s="95"/>
      <c r="D58" s="95"/>
      <c r="E58" s="95"/>
      <c r="F58" s="95"/>
      <c r="G58" s="95"/>
      <c r="H58" s="95"/>
      <c r="I58" s="95"/>
      <c r="J58" s="95"/>
      <c r="K58" s="307"/>
      <c r="L58" s="95"/>
      <c r="M58" s="95"/>
      <c r="N58" s="107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</row>
    <row r="59" spans="1:28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307"/>
      <c r="L59" s="95"/>
      <c r="M59" s="95"/>
      <c r="N59" s="107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</row>
    <row r="60" spans="1:28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307"/>
      <c r="L60" s="95"/>
      <c r="M60" s="95"/>
      <c r="N60" s="107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</row>
    <row r="61" spans="1:28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308"/>
      <c r="L61" s="95"/>
      <c r="M61" s="95"/>
      <c r="N61" s="107"/>
      <c r="O61" s="95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4"/>
      <c r="AA61" s="94"/>
      <c r="AB61" s="95"/>
    </row>
    <row r="62" spans="1:28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308"/>
      <c r="L62" s="95"/>
      <c r="M62" s="95"/>
      <c r="N62" s="107"/>
      <c r="O62" s="95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4"/>
      <c r="AA62" s="94"/>
      <c r="AB62" s="95"/>
    </row>
    <row r="63" spans="1:28">
      <c r="N63" s="42"/>
    </row>
    <row r="64" spans="1:28">
      <c r="N64" s="42"/>
    </row>
    <row r="65" spans="14:14">
      <c r="N65" s="42"/>
    </row>
    <row r="66" spans="14:14">
      <c r="N66" s="42"/>
    </row>
    <row r="67" spans="14:14">
      <c r="N67" s="42"/>
    </row>
    <row r="68" spans="14:14">
      <c r="N68" s="42"/>
    </row>
    <row r="69" spans="14:14">
      <c r="N69" s="42"/>
    </row>
    <row r="70" spans="14:14">
      <c r="N70" s="42"/>
    </row>
    <row r="71" spans="14:14">
      <c r="N71" s="42"/>
    </row>
    <row r="72" spans="14:14">
      <c r="N72" s="42"/>
    </row>
    <row r="73" spans="14:14">
      <c r="N73" s="42"/>
    </row>
    <row r="74" spans="14:14">
      <c r="N74" s="42"/>
    </row>
    <row r="75" spans="14:14">
      <c r="N75" s="42"/>
    </row>
    <row r="76" spans="14:14">
      <c r="N76" s="42"/>
    </row>
    <row r="77" spans="14:14">
      <c r="N77" s="42"/>
    </row>
    <row r="78" spans="14:14">
      <c r="N78" s="42"/>
    </row>
    <row r="79" spans="14:14">
      <c r="N79" s="42"/>
    </row>
    <row r="80" spans="14:14">
      <c r="N80" s="42"/>
    </row>
    <row r="81" spans="14:14">
      <c r="N81" s="42"/>
    </row>
    <row r="82" spans="14:14">
      <c r="N82" s="42"/>
    </row>
    <row r="83" spans="14:14">
      <c r="N83" s="42"/>
    </row>
    <row r="84" spans="14:14">
      <c r="N84" s="42"/>
    </row>
    <row r="85" spans="14:14">
      <c r="N85" s="42"/>
    </row>
    <row r="86" spans="14:14">
      <c r="N86" s="42"/>
    </row>
    <row r="87" spans="14:14">
      <c r="N87" s="42"/>
    </row>
    <row r="88" spans="14:14">
      <c r="N88" s="42"/>
    </row>
    <row r="89" spans="14:14">
      <c r="N89" s="42"/>
    </row>
    <row r="90" spans="14:14">
      <c r="N90" s="42"/>
    </row>
    <row r="91" spans="14:14">
      <c r="N91" s="42"/>
    </row>
    <row r="92" spans="14:14">
      <c r="N92" s="42"/>
    </row>
    <row r="93" spans="14:14">
      <c r="N93" s="42"/>
    </row>
    <row r="94" spans="14:14">
      <c r="N94" s="42"/>
    </row>
    <row r="95" spans="14:14">
      <c r="N95" s="42"/>
    </row>
    <row r="96" spans="14:14">
      <c r="N96" s="42"/>
    </row>
  </sheetData>
  <phoneticPr fontId="22" type="noConversion"/>
  <pageMargins left="0.75" right="0.75" top="1" bottom="1" header="0.5" footer="0.5"/>
  <pageSetup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D16" sqref="D16"/>
    </sheetView>
  </sheetViews>
  <sheetFormatPr defaultRowHeight="12.75"/>
  <cols>
    <col min="1" max="1" width="37.7109375" customWidth="1"/>
    <col min="2" max="2" width="17.7109375" bestFit="1" customWidth="1"/>
    <col min="3" max="3" width="14.7109375" style="175" customWidth="1"/>
  </cols>
  <sheetData>
    <row r="1" spans="1:5" ht="18.75">
      <c r="A1" s="7" t="s">
        <v>214</v>
      </c>
      <c r="B1" s="6"/>
      <c r="C1" s="269"/>
      <c r="D1" s="6"/>
      <c r="E1" s="6"/>
    </row>
    <row r="2" spans="1:5">
      <c r="A2" s="224"/>
      <c r="B2" s="10"/>
      <c r="C2" s="269"/>
      <c r="D2" s="6"/>
      <c r="E2" s="6"/>
    </row>
    <row r="3" spans="1:5">
      <c r="A3" s="12"/>
      <c r="B3" s="15" t="s">
        <v>17</v>
      </c>
      <c r="C3" s="56" t="s">
        <v>14</v>
      </c>
      <c r="D3" s="6"/>
      <c r="E3" s="6"/>
    </row>
    <row r="4" spans="1:5" ht="15">
      <c r="A4" s="349" t="s">
        <v>173</v>
      </c>
      <c r="B4" s="324" t="s">
        <v>61</v>
      </c>
      <c r="C4" s="56">
        <f>IF(B4="fail",0,50)</f>
        <v>50</v>
      </c>
      <c r="D4" s="6"/>
      <c r="E4" s="6"/>
    </row>
    <row r="5" spans="1:5" ht="15">
      <c r="A5" s="349" t="s">
        <v>174</v>
      </c>
      <c r="B5" s="324" t="s">
        <v>118</v>
      </c>
      <c r="C5" s="56">
        <f t="shared" ref="C5:C6" si="0">IF(B5="fail",0,50)</f>
        <v>0</v>
      </c>
      <c r="D5" s="6"/>
      <c r="E5" s="6"/>
    </row>
    <row r="6" spans="1:5" ht="15">
      <c r="A6" s="349" t="s">
        <v>175</v>
      </c>
      <c r="B6" s="324" t="s">
        <v>61</v>
      </c>
      <c r="C6" s="56">
        <f t="shared" si="0"/>
        <v>50</v>
      </c>
      <c r="D6" s="6"/>
      <c r="E6" s="6"/>
    </row>
    <row r="7" spans="1:5" s="218" customFormat="1" ht="15">
      <c r="A7" s="355" t="s">
        <v>176</v>
      </c>
      <c r="B7" s="324" t="s">
        <v>228</v>
      </c>
      <c r="C7" s="56">
        <v>0</v>
      </c>
      <c r="D7" s="224"/>
      <c r="E7" s="224"/>
    </row>
    <row r="8" spans="1:5" s="277" customFormat="1" ht="15">
      <c r="A8" s="349" t="s">
        <v>177</v>
      </c>
      <c r="B8" s="324" t="s">
        <v>61</v>
      </c>
      <c r="C8" s="56">
        <f t="shared" ref="C8:C14" si="1">IF(B8="fail",0,50)</f>
        <v>50</v>
      </c>
      <c r="D8" s="276"/>
      <c r="E8" s="276"/>
    </row>
    <row r="9" spans="1:5" ht="15">
      <c r="A9" s="356" t="s">
        <v>178</v>
      </c>
      <c r="B9" s="324" t="s">
        <v>61</v>
      </c>
      <c r="C9" s="56">
        <f t="shared" si="1"/>
        <v>50</v>
      </c>
      <c r="D9" s="6"/>
      <c r="E9" s="6"/>
    </row>
    <row r="10" spans="1:5" ht="15">
      <c r="A10" s="355" t="s">
        <v>179</v>
      </c>
      <c r="B10" s="324" t="s">
        <v>61</v>
      </c>
      <c r="C10" s="56">
        <f t="shared" si="1"/>
        <v>50</v>
      </c>
      <c r="D10" s="6"/>
      <c r="E10" s="6"/>
    </row>
    <row r="11" spans="1:5" ht="15">
      <c r="A11" s="356" t="s">
        <v>180</v>
      </c>
      <c r="B11" s="324" t="s">
        <v>118</v>
      </c>
      <c r="C11" s="56">
        <f t="shared" si="1"/>
        <v>0</v>
      </c>
      <c r="D11" s="6"/>
      <c r="E11" s="6"/>
    </row>
    <row r="12" spans="1:5" ht="15">
      <c r="A12" s="356" t="s">
        <v>181</v>
      </c>
      <c r="B12" s="324" t="s">
        <v>61</v>
      </c>
      <c r="C12" s="56">
        <f t="shared" si="1"/>
        <v>50</v>
      </c>
      <c r="D12" s="6"/>
      <c r="E12" s="6"/>
    </row>
    <row r="13" spans="1:5" s="143" customFormat="1" ht="15">
      <c r="A13" s="356" t="s">
        <v>182</v>
      </c>
      <c r="B13" s="324" t="s">
        <v>61</v>
      </c>
      <c r="C13" s="56">
        <f t="shared" si="1"/>
        <v>50</v>
      </c>
      <c r="D13" s="136"/>
      <c r="E13" s="136"/>
    </row>
    <row r="14" spans="1:5" ht="15">
      <c r="A14" s="356" t="s">
        <v>183</v>
      </c>
      <c r="B14" s="324" t="s">
        <v>118</v>
      </c>
      <c r="C14" s="56">
        <f t="shared" si="1"/>
        <v>0</v>
      </c>
    </row>
    <row r="15" spans="1:5" ht="15">
      <c r="A15" s="356" t="s">
        <v>184</v>
      </c>
      <c r="B15" s="324" t="s">
        <v>228</v>
      </c>
      <c r="C15" s="56">
        <v>0</v>
      </c>
    </row>
  </sheetData>
  <phoneticPr fontId="22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H16" sqref="H16"/>
    </sheetView>
  </sheetViews>
  <sheetFormatPr defaultRowHeight="12.75"/>
  <cols>
    <col min="1" max="1" width="36.42578125" customWidth="1"/>
    <col min="2" max="2" width="10" customWidth="1"/>
    <col min="3" max="3" width="10.28515625" customWidth="1"/>
    <col min="4" max="4" width="13.42578125" customWidth="1"/>
    <col min="5" max="5" width="10.140625" customWidth="1"/>
    <col min="6" max="6" width="10" customWidth="1"/>
    <col min="7" max="7" width="11" customWidth="1"/>
    <col min="8" max="8" width="48" customWidth="1"/>
    <col min="9" max="10" width="10" customWidth="1"/>
  </cols>
  <sheetData>
    <row r="1" spans="1:12" ht="18.75">
      <c r="A1" s="7" t="s">
        <v>215</v>
      </c>
      <c r="B1" s="6"/>
      <c r="C1" s="6"/>
      <c r="D1" s="6"/>
      <c r="E1" s="6"/>
      <c r="F1" s="6"/>
      <c r="G1" s="6"/>
      <c r="H1" s="6"/>
      <c r="I1" s="9"/>
      <c r="J1" s="6"/>
      <c r="K1" s="6"/>
      <c r="L1" s="6"/>
    </row>
    <row r="2" spans="1:12">
      <c r="A2" s="38"/>
      <c r="B2" s="6"/>
      <c r="D2" s="9" t="s">
        <v>37</v>
      </c>
      <c r="E2" s="69">
        <f>MAX(D6:D17)</f>
        <v>42.5</v>
      </c>
      <c r="F2" s="6" t="s">
        <v>16</v>
      </c>
      <c r="G2" s="6"/>
      <c r="H2" s="6"/>
      <c r="I2" s="9"/>
      <c r="J2" s="6"/>
      <c r="K2" s="6"/>
      <c r="L2" s="6"/>
    </row>
    <row r="3" spans="1:12">
      <c r="A3" s="217"/>
      <c r="B3" s="6"/>
      <c r="D3" s="9" t="s">
        <v>38</v>
      </c>
      <c r="E3" s="69">
        <f>MIN(D6:D17)</f>
        <v>31.7</v>
      </c>
      <c r="F3" s="6" t="s">
        <v>16</v>
      </c>
      <c r="G3" s="6"/>
      <c r="H3" s="6"/>
      <c r="I3" s="9"/>
      <c r="J3" s="6"/>
      <c r="K3" s="6"/>
      <c r="L3" s="6"/>
    </row>
    <row r="4" spans="1:12">
      <c r="A4" s="16"/>
      <c r="B4" s="16"/>
      <c r="C4" s="16"/>
      <c r="D4" s="16"/>
      <c r="E4" s="6"/>
      <c r="F4" s="16"/>
      <c r="G4" s="16"/>
      <c r="H4" s="16"/>
      <c r="I4" s="24"/>
      <c r="J4" s="6"/>
      <c r="K4" s="6"/>
      <c r="L4" s="6"/>
    </row>
    <row r="5" spans="1:12" ht="30.75" customHeight="1">
      <c r="A5" s="78"/>
      <c r="B5" s="39" t="s">
        <v>34</v>
      </c>
      <c r="C5" s="39" t="s">
        <v>35</v>
      </c>
      <c r="D5" s="39" t="s">
        <v>36</v>
      </c>
      <c r="E5" s="39" t="s">
        <v>9</v>
      </c>
      <c r="F5" s="23" t="s">
        <v>28</v>
      </c>
      <c r="G5" s="23"/>
      <c r="H5" s="121" t="s">
        <v>91</v>
      </c>
      <c r="I5" s="14"/>
      <c r="J5" s="13"/>
      <c r="K5" s="5"/>
      <c r="L5" s="6"/>
    </row>
    <row r="6" spans="1:12" ht="15">
      <c r="A6" s="349" t="s">
        <v>173</v>
      </c>
      <c r="B6" s="318">
        <v>31.9</v>
      </c>
      <c r="C6" s="318">
        <v>31.7</v>
      </c>
      <c r="D6" s="201">
        <f>MIN(B6:C6)</f>
        <v>31.7</v>
      </c>
      <c r="E6" s="58">
        <f t="shared" ref="E6:E16" si="0">-$E$21*D6+$E$22</f>
        <v>75</v>
      </c>
      <c r="F6" s="135">
        <f>RANK(E6,$E$6:$E$17)</f>
        <v>1</v>
      </c>
      <c r="G6" s="52"/>
      <c r="H6" s="268"/>
      <c r="I6" s="26"/>
      <c r="J6" s="27"/>
      <c r="K6" s="18"/>
      <c r="L6" s="6"/>
    </row>
    <row r="7" spans="1:12" ht="15">
      <c r="A7" s="349" t="s">
        <v>174</v>
      </c>
      <c r="B7" s="444">
        <v>37.200000000000003</v>
      </c>
      <c r="C7" s="444">
        <v>33.44</v>
      </c>
      <c r="D7" s="201">
        <f t="shared" ref="D7:D16" si="1">MIN(B7:C7)</f>
        <v>33.44</v>
      </c>
      <c r="E7" s="58">
        <f t="shared" si="0"/>
        <v>62.916666666666686</v>
      </c>
      <c r="F7" s="135">
        <f>RANK(E7,$E$6:$E$17)</f>
        <v>4</v>
      </c>
      <c r="G7" s="77"/>
      <c r="H7" s="446" t="s">
        <v>232</v>
      </c>
      <c r="I7" s="26"/>
      <c r="J7" s="27"/>
      <c r="K7" s="18"/>
      <c r="L7" s="6"/>
    </row>
    <row r="8" spans="1:12" ht="15">
      <c r="A8" s="349" t="s">
        <v>175</v>
      </c>
      <c r="B8" s="445">
        <v>33</v>
      </c>
      <c r="C8" s="445">
        <v>33.299999999999997</v>
      </c>
      <c r="D8" s="201">
        <f t="shared" si="1"/>
        <v>33</v>
      </c>
      <c r="E8" s="58">
        <f t="shared" si="0"/>
        <v>65.9722222222222</v>
      </c>
      <c r="F8" s="135">
        <f>RANK(E8,$E$6:$E$17)</f>
        <v>3</v>
      </c>
      <c r="G8" s="52"/>
      <c r="H8" s="342"/>
      <c r="I8" s="26"/>
      <c r="J8" s="27"/>
      <c r="K8" s="18"/>
      <c r="L8" s="6"/>
    </row>
    <row r="9" spans="1:12" s="218" customFormat="1" ht="15">
      <c r="A9" s="355" t="s">
        <v>176</v>
      </c>
      <c r="B9" s="445"/>
      <c r="C9" s="445"/>
      <c r="D9" s="201"/>
      <c r="E9" s="58"/>
      <c r="F9" s="286"/>
      <c r="G9" s="255"/>
      <c r="H9" s="342"/>
      <c r="I9" s="263"/>
      <c r="J9" s="216"/>
      <c r="K9" s="254"/>
      <c r="L9" s="224"/>
    </row>
    <row r="10" spans="1:12" s="218" customFormat="1" ht="15">
      <c r="A10" s="349" t="s">
        <v>177</v>
      </c>
      <c r="B10" s="444">
        <v>35.450000000000003</v>
      </c>
      <c r="C10" s="444">
        <v>39</v>
      </c>
      <c r="D10" s="201">
        <f t="shared" si="1"/>
        <v>35.450000000000003</v>
      </c>
      <c r="E10" s="58">
        <f t="shared" si="0"/>
        <v>48.958333333333314</v>
      </c>
      <c r="F10" s="286">
        <f t="shared" ref="F10:F13" si="2">RANK(E10,$E$6:$E$17)</f>
        <v>8</v>
      </c>
      <c r="G10" s="255"/>
      <c r="H10" s="342" t="s">
        <v>233</v>
      </c>
      <c r="I10" s="263"/>
      <c r="J10" s="216"/>
      <c r="K10" s="254"/>
      <c r="L10" s="224"/>
    </row>
    <row r="11" spans="1:12" ht="15">
      <c r="A11" s="356" t="s">
        <v>178</v>
      </c>
      <c r="B11" s="444">
        <v>32.630000000000003</v>
      </c>
      <c r="C11" s="444">
        <v>34.65</v>
      </c>
      <c r="D11" s="201">
        <f t="shared" si="1"/>
        <v>32.630000000000003</v>
      </c>
      <c r="E11" s="58">
        <f t="shared" si="0"/>
        <v>68.541666666666629</v>
      </c>
      <c r="F11" s="286">
        <f t="shared" si="2"/>
        <v>2</v>
      </c>
      <c r="G11" s="52"/>
      <c r="H11" s="342"/>
      <c r="I11" s="26"/>
      <c r="J11" s="27"/>
      <c r="K11" s="18"/>
      <c r="L11" s="6"/>
    </row>
    <row r="12" spans="1:12" ht="15">
      <c r="A12" s="355" t="s">
        <v>179</v>
      </c>
      <c r="B12" s="444">
        <v>34.25</v>
      </c>
      <c r="C12" s="444">
        <v>37.44</v>
      </c>
      <c r="D12" s="201">
        <f t="shared" si="1"/>
        <v>34.25</v>
      </c>
      <c r="E12" s="58">
        <f t="shared" si="0"/>
        <v>57.291666666666657</v>
      </c>
      <c r="F12" s="286">
        <f t="shared" si="2"/>
        <v>5</v>
      </c>
      <c r="G12" s="52"/>
      <c r="H12" s="342" t="s">
        <v>234</v>
      </c>
      <c r="I12" s="26"/>
      <c r="J12" s="27"/>
      <c r="K12" s="18"/>
      <c r="L12" s="6"/>
    </row>
    <row r="13" spans="1:12" ht="15">
      <c r="A13" s="356" t="s">
        <v>180</v>
      </c>
      <c r="B13" s="444">
        <v>34.799999999999997</v>
      </c>
      <c r="C13" s="444">
        <v>35.68</v>
      </c>
      <c r="D13" s="201">
        <f t="shared" si="1"/>
        <v>34.799999999999997</v>
      </c>
      <c r="E13" s="58">
        <f t="shared" si="0"/>
        <v>53.472222222222229</v>
      </c>
      <c r="F13" s="286">
        <f t="shared" si="2"/>
        <v>6</v>
      </c>
      <c r="G13" s="52"/>
      <c r="H13" s="446"/>
      <c r="I13" s="26"/>
      <c r="J13" s="27"/>
      <c r="K13" s="18"/>
      <c r="L13" s="6"/>
    </row>
    <row r="14" spans="1:12" ht="26.25">
      <c r="A14" s="356" t="s">
        <v>181</v>
      </c>
      <c r="B14" s="444">
        <v>42.7</v>
      </c>
      <c r="C14" s="444">
        <v>42.5</v>
      </c>
      <c r="D14" s="201">
        <f t="shared" si="1"/>
        <v>42.5</v>
      </c>
      <c r="E14" s="58">
        <f t="shared" si="0"/>
        <v>0</v>
      </c>
      <c r="F14" s="135">
        <f>RANK(E14,$E$6:$E$17)</f>
        <v>10</v>
      </c>
      <c r="G14" s="52"/>
      <c r="H14" s="446" t="s">
        <v>235</v>
      </c>
      <c r="I14" s="26"/>
      <c r="J14" s="27"/>
      <c r="K14" s="18"/>
      <c r="L14" s="6"/>
    </row>
    <row r="15" spans="1:12" s="143" customFormat="1" ht="15">
      <c r="A15" s="356" t="s">
        <v>182</v>
      </c>
      <c r="B15" s="444">
        <v>38.75</v>
      </c>
      <c r="C15" s="444">
        <v>38.840000000000003</v>
      </c>
      <c r="D15" s="201">
        <f t="shared" si="1"/>
        <v>38.75</v>
      </c>
      <c r="E15" s="58">
        <f t="shared" si="0"/>
        <v>26.041666666666686</v>
      </c>
      <c r="F15" s="135">
        <f>RANK(E15,$E$6:$E$17)</f>
        <v>9</v>
      </c>
      <c r="G15" s="148"/>
      <c r="H15" s="342" t="s">
        <v>236</v>
      </c>
      <c r="I15" s="156"/>
      <c r="J15" s="157"/>
      <c r="K15" s="144"/>
      <c r="L15" s="136"/>
    </row>
    <row r="16" spans="1:12" ht="15">
      <c r="A16" s="356" t="s">
        <v>183</v>
      </c>
      <c r="B16" s="444">
        <v>34.85</v>
      </c>
      <c r="C16" s="444">
        <v>35.700000000000003</v>
      </c>
      <c r="D16" s="201">
        <f t="shared" si="1"/>
        <v>34.85</v>
      </c>
      <c r="E16" s="58">
        <f t="shared" si="0"/>
        <v>53.124999999999972</v>
      </c>
      <c r="F16" s="135">
        <f>RANK(E16,$E$6:$E$17)</f>
        <v>7</v>
      </c>
      <c r="G16" s="6"/>
      <c r="H16" s="447"/>
      <c r="I16" s="6"/>
      <c r="J16" s="6"/>
      <c r="K16" s="6"/>
      <c r="L16" s="6"/>
    </row>
    <row r="17" spans="1:8" ht="15">
      <c r="A17" s="356" t="s">
        <v>184</v>
      </c>
      <c r="B17" s="444"/>
      <c r="C17" s="444"/>
      <c r="D17" s="201"/>
      <c r="E17" s="58"/>
      <c r="F17" s="135"/>
      <c r="H17" s="141"/>
    </row>
    <row r="18" spans="1:8">
      <c r="B18" s="139"/>
    </row>
    <row r="20" spans="1:8">
      <c r="D20" s="350" t="s">
        <v>156</v>
      </c>
      <c r="E20" s="350"/>
    </row>
    <row r="21" spans="1:8">
      <c r="D21" s="350" t="s">
        <v>152</v>
      </c>
      <c r="E21" s="367">
        <f>75/(E2-E3)</f>
        <v>6.9444444444444438</v>
      </c>
    </row>
    <row r="22" spans="1:8">
      <c r="D22" s="350" t="s">
        <v>153</v>
      </c>
      <c r="E22" s="280">
        <f>E21*E2</f>
        <v>295.13888888888886</v>
      </c>
    </row>
  </sheetData>
  <phoneticPr fontId="22" type="noConversion"/>
  <printOptions gridLines="1"/>
  <pageMargins left="0.75" right="0.75" top="1" bottom="1" header="0.5" footer="0.5"/>
  <pageSetup scale="8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opLeftCell="B1" zoomScale="90" workbookViewId="0">
      <selection activeCell="E17" sqref="E17"/>
    </sheetView>
  </sheetViews>
  <sheetFormatPr defaultRowHeight="12.75"/>
  <cols>
    <col min="1" max="1" width="36.28515625" customWidth="1"/>
    <col min="2" max="2" width="12.42578125" customWidth="1"/>
    <col min="3" max="3" width="12.7109375" style="3" customWidth="1"/>
    <col min="4" max="4" width="12.28515625" customWidth="1"/>
    <col min="5" max="5" width="14" customWidth="1"/>
    <col min="6" max="6" width="10.7109375" customWidth="1"/>
    <col min="7" max="7" width="9.85546875" customWidth="1"/>
    <col min="8" max="8" width="15.7109375" style="175" customWidth="1"/>
    <col min="9" max="9" width="13.5703125" customWidth="1"/>
    <col min="10" max="10" width="5.5703125" style="175" bestFit="1" customWidth="1"/>
    <col min="11" max="11" width="19.42578125" customWidth="1"/>
  </cols>
  <sheetData>
    <row r="1" spans="1:13" ht="18.75">
      <c r="A1" s="7" t="s">
        <v>216</v>
      </c>
      <c r="B1" s="7"/>
      <c r="C1" s="18"/>
      <c r="D1" s="6"/>
      <c r="E1" s="6"/>
      <c r="F1" s="6"/>
      <c r="G1" s="6"/>
      <c r="H1" s="269"/>
      <c r="I1" s="6"/>
      <c r="J1" s="269"/>
      <c r="K1" s="6"/>
    </row>
    <row r="2" spans="1:13">
      <c r="A2" s="24"/>
      <c r="B2" s="24"/>
      <c r="C2" s="52"/>
      <c r="D2" s="24"/>
      <c r="E2" s="24"/>
      <c r="F2" s="24"/>
      <c r="G2" s="24"/>
      <c r="H2" s="287"/>
      <c r="I2" s="24"/>
      <c r="J2" s="269"/>
      <c r="K2" s="6"/>
    </row>
    <row r="3" spans="1:13" s="162" customFormat="1" ht="38.25">
      <c r="A3" s="161"/>
      <c r="B3" s="39" t="s">
        <v>43</v>
      </c>
      <c r="C3" s="39" t="s">
        <v>7</v>
      </c>
      <c r="D3" s="39" t="s">
        <v>66</v>
      </c>
      <c r="E3" s="39" t="s">
        <v>57</v>
      </c>
      <c r="F3" s="39" t="s">
        <v>92</v>
      </c>
      <c r="G3" s="39" t="s">
        <v>8</v>
      </c>
      <c r="H3" s="249" t="s">
        <v>67</v>
      </c>
      <c r="I3" s="39" t="s">
        <v>68</v>
      </c>
      <c r="J3" s="36" t="s">
        <v>65</v>
      </c>
      <c r="K3" s="39" t="s">
        <v>53</v>
      </c>
    </row>
    <row r="4" spans="1:13" ht="15">
      <c r="A4" s="349" t="s">
        <v>173</v>
      </c>
      <c r="B4" s="324"/>
      <c r="C4" s="324"/>
      <c r="D4" s="324"/>
      <c r="E4" s="324"/>
      <c r="F4" s="324"/>
      <c r="G4" s="324">
        <v>0</v>
      </c>
      <c r="H4" s="324">
        <v>100</v>
      </c>
      <c r="I4" s="316"/>
      <c r="J4" s="198">
        <f t="shared" ref="J4:J15" si="0">SUM(B4:I4)</f>
        <v>100</v>
      </c>
      <c r="K4" s="268" t="s">
        <v>239</v>
      </c>
    </row>
    <row r="5" spans="1:13" ht="15">
      <c r="A5" s="349" t="s">
        <v>174</v>
      </c>
      <c r="B5" s="324"/>
      <c r="C5" s="324"/>
      <c r="D5" s="324"/>
      <c r="E5" s="324"/>
      <c r="F5" s="324"/>
      <c r="G5" s="324">
        <f>-10-100-10</f>
        <v>-120</v>
      </c>
      <c r="H5" s="324"/>
      <c r="I5" s="324"/>
      <c r="J5" s="198">
        <f t="shared" si="0"/>
        <v>-120</v>
      </c>
      <c r="K5" s="268" t="s">
        <v>240</v>
      </c>
      <c r="L5" s="175"/>
    </row>
    <row r="6" spans="1:13" ht="15">
      <c r="A6" s="349" t="s">
        <v>175</v>
      </c>
      <c r="B6" s="324"/>
      <c r="C6" s="324"/>
      <c r="D6" s="324"/>
      <c r="E6" s="324"/>
      <c r="F6" s="324"/>
      <c r="G6" s="324">
        <v>-10</v>
      </c>
      <c r="H6" s="324"/>
      <c r="I6" s="316"/>
      <c r="J6" s="198">
        <f t="shared" si="0"/>
        <v>-10</v>
      </c>
      <c r="K6" s="268"/>
    </row>
    <row r="7" spans="1:13" s="218" customFormat="1" ht="15">
      <c r="A7" s="355" t="s">
        <v>176</v>
      </c>
      <c r="B7" s="324"/>
      <c r="C7" s="324"/>
      <c r="D7" s="324"/>
      <c r="E7" s="324"/>
      <c r="F7" s="324"/>
      <c r="G7" s="324">
        <v>-10</v>
      </c>
      <c r="H7" s="324"/>
      <c r="I7" s="316"/>
      <c r="J7" s="198">
        <f t="shared" si="0"/>
        <v>-10</v>
      </c>
      <c r="K7" s="223"/>
    </row>
    <row r="8" spans="1:13" s="218" customFormat="1" ht="15">
      <c r="A8" s="349" t="s">
        <v>177</v>
      </c>
      <c r="B8" s="324"/>
      <c r="C8" s="324"/>
      <c r="D8" s="324"/>
      <c r="E8" s="324"/>
      <c r="F8" s="324"/>
      <c r="G8" s="324">
        <v>-10</v>
      </c>
      <c r="H8" s="324">
        <v>100</v>
      </c>
      <c r="I8" s="324"/>
      <c r="J8" s="198">
        <f t="shared" si="0"/>
        <v>90</v>
      </c>
      <c r="K8" s="268"/>
      <c r="M8" s="175"/>
    </row>
    <row r="9" spans="1:13" ht="15">
      <c r="A9" s="356" t="s">
        <v>178</v>
      </c>
      <c r="B9" s="324"/>
      <c r="C9" s="324"/>
      <c r="D9" s="324"/>
      <c r="E9" s="324"/>
      <c r="F9" s="324"/>
      <c r="G9" s="324">
        <v>-10</v>
      </c>
      <c r="H9" s="324"/>
      <c r="I9" s="316"/>
      <c r="J9" s="198">
        <f t="shared" si="0"/>
        <v>-10</v>
      </c>
      <c r="K9" s="268"/>
    </row>
    <row r="10" spans="1:13" ht="15">
      <c r="A10" s="355" t="s">
        <v>179</v>
      </c>
      <c r="B10" s="324"/>
      <c r="C10" s="324" t="s">
        <v>48</v>
      </c>
      <c r="D10" s="324"/>
      <c r="E10" s="324"/>
      <c r="F10" s="324"/>
      <c r="G10" s="324">
        <v>-10</v>
      </c>
      <c r="H10" s="324"/>
      <c r="I10" s="316"/>
      <c r="J10" s="198">
        <f t="shared" si="0"/>
        <v>-10</v>
      </c>
      <c r="K10" s="268"/>
    </row>
    <row r="11" spans="1:13" ht="15">
      <c r="A11" s="356" t="s">
        <v>180</v>
      </c>
      <c r="B11" s="324"/>
      <c r="C11" s="324"/>
      <c r="D11" s="324"/>
      <c r="E11" s="324"/>
      <c r="F11" s="324"/>
      <c r="G11" s="324">
        <v>-10</v>
      </c>
      <c r="H11" s="324"/>
      <c r="I11" s="316"/>
      <c r="J11" s="198">
        <f t="shared" si="0"/>
        <v>-10</v>
      </c>
      <c r="K11" s="268"/>
    </row>
    <row r="12" spans="1:13" ht="15">
      <c r="A12" s="356" t="s">
        <v>181</v>
      </c>
      <c r="B12" s="324"/>
      <c r="C12" s="324"/>
      <c r="D12" s="324"/>
      <c r="E12" s="324"/>
      <c r="F12" s="324"/>
      <c r="G12" s="324">
        <v>-10</v>
      </c>
      <c r="H12" s="324"/>
      <c r="I12" s="316"/>
      <c r="J12" s="198">
        <f t="shared" si="0"/>
        <v>-10</v>
      </c>
      <c r="K12" s="268"/>
    </row>
    <row r="13" spans="1:13" s="143" customFormat="1" ht="15">
      <c r="A13" s="356" t="s">
        <v>182</v>
      </c>
      <c r="B13" s="324"/>
      <c r="C13" s="324" t="s">
        <v>48</v>
      </c>
      <c r="D13" s="324"/>
      <c r="E13" s="324"/>
      <c r="F13" s="324"/>
      <c r="G13" s="324">
        <v>-10</v>
      </c>
      <c r="H13" s="324">
        <v>100</v>
      </c>
      <c r="I13" s="316"/>
      <c r="J13" s="198">
        <f t="shared" si="0"/>
        <v>90</v>
      </c>
      <c r="K13" s="268"/>
    </row>
    <row r="14" spans="1:13" ht="15">
      <c r="A14" s="356" t="s">
        <v>183</v>
      </c>
      <c r="B14" s="324"/>
      <c r="C14" s="450">
        <v>-10</v>
      </c>
      <c r="D14" s="324" t="s">
        <v>48</v>
      </c>
      <c r="E14" s="324"/>
      <c r="F14" s="324"/>
      <c r="G14" s="324">
        <v>-10</v>
      </c>
      <c r="H14" s="324"/>
      <c r="I14" s="316"/>
      <c r="J14" s="198">
        <f t="shared" si="0"/>
        <v>-20</v>
      </c>
      <c r="K14" s="269"/>
    </row>
    <row r="15" spans="1:13" ht="15">
      <c r="A15" s="356" t="s">
        <v>184</v>
      </c>
      <c r="B15" s="324"/>
      <c r="C15" s="324"/>
      <c r="D15" s="324" t="s">
        <v>48</v>
      </c>
      <c r="E15" s="324"/>
      <c r="F15" s="324"/>
      <c r="G15" s="324">
        <v>-10</v>
      </c>
      <c r="H15" s="324"/>
      <c r="I15" s="316"/>
      <c r="J15" s="198">
        <f t="shared" si="0"/>
        <v>-10</v>
      </c>
      <c r="K15" s="269"/>
    </row>
    <row r="16" spans="1:13" ht="15">
      <c r="A16" s="22"/>
      <c r="B16" s="22"/>
      <c r="C16" s="314"/>
      <c r="D16" s="49"/>
      <c r="E16" s="49"/>
      <c r="F16" s="40"/>
      <c r="G16" s="52"/>
      <c r="H16" s="284"/>
      <c r="I16" s="29"/>
      <c r="J16" s="269"/>
      <c r="K16" s="6"/>
    </row>
    <row r="17" spans="1:11" ht="15">
      <c r="A17" s="22"/>
      <c r="B17" s="22"/>
      <c r="C17" s="314"/>
      <c r="D17" s="49"/>
      <c r="E17" s="49"/>
      <c r="F17" s="40"/>
      <c r="G17" s="268" t="s">
        <v>239</v>
      </c>
      <c r="H17" s="284"/>
      <c r="I17" s="29"/>
      <c r="J17" s="269"/>
      <c r="K17" s="6"/>
    </row>
    <row r="18" spans="1:11" ht="15">
      <c r="A18" s="22"/>
      <c r="B18" s="22"/>
      <c r="C18" s="314"/>
      <c r="D18" s="49"/>
      <c r="E18" s="49"/>
      <c r="F18" s="40"/>
      <c r="G18" s="52"/>
      <c r="H18" s="284"/>
      <c r="I18" s="29"/>
      <c r="J18" s="269"/>
      <c r="K18" s="6"/>
    </row>
    <row r="19" spans="1:11" ht="15">
      <c r="A19" s="22"/>
      <c r="B19" s="22"/>
      <c r="C19" s="314"/>
      <c r="D19" s="49"/>
      <c r="E19" s="49"/>
      <c r="F19" s="40"/>
      <c r="G19" s="52"/>
      <c r="H19" s="284"/>
      <c r="I19" s="29"/>
      <c r="J19" s="269"/>
      <c r="K19" s="6"/>
    </row>
    <row r="20" spans="1:11" ht="15">
      <c r="A20" s="22"/>
      <c r="B20" s="22"/>
      <c r="C20" s="314"/>
      <c r="D20" s="49"/>
      <c r="E20" s="49"/>
      <c r="F20" s="40"/>
      <c r="G20" s="52"/>
      <c r="H20" s="284"/>
      <c r="I20" s="29"/>
      <c r="J20" s="269"/>
      <c r="K20" s="6"/>
    </row>
    <row r="21" spans="1:11" ht="15">
      <c r="A21" s="22"/>
      <c r="B21" s="22"/>
      <c r="C21" s="314"/>
      <c r="D21" s="49"/>
      <c r="E21" s="49"/>
      <c r="F21" s="40"/>
      <c r="G21" s="52"/>
      <c r="H21" s="284"/>
      <c r="I21" s="29"/>
      <c r="J21" s="269"/>
      <c r="K21" s="6"/>
    </row>
    <row r="22" spans="1:11" ht="15">
      <c r="A22" s="22"/>
      <c r="B22" s="22"/>
      <c r="C22" s="314"/>
      <c r="D22" s="49"/>
      <c r="E22" s="49"/>
      <c r="F22" s="40"/>
      <c r="G22" s="52"/>
      <c r="H22" s="284"/>
      <c r="I22" s="29"/>
      <c r="J22" s="269"/>
      <c r="K22" s="6"/>
    </row>
    <row r="23" spans="1:11">
      <c r="A23" s="22"/>
      <c r="B23" s="22"/>
      <c r="C23" s="314"/>
      <c r="D23" s="49"/>
      <c r="E23" s="49"/>
      <c r="F23" s="40"/>
      <c r="G23" s="52"/>
      <c r="H23" s="284"/>
      <c r="I23" s="24"/>
      <c r="J23" s="269"/>
      <c r="K23" s="6"/>
    </row>
    <row r="24" spans="1:11" ht="15">
      <c r="A24" s="22"/>
      <c r="B24" s="22"/>
      <c r="C24" s="314"/>
      <c r="D24" s="49"/>
      <c r="E24" s="49"/>
      <c r="F24" s="40"/>
      <c r="G24" s="52"/>
      <c r="H24" s="284"/>
      <c r="I24" s="29"/>
      <c r="J24" s="269"/>
      <c r="K24" s="6"/>
    </row>
    <row r="25" spans="1:11">
      <c r="A25" s="22"/>
      <c r="B25" s="22"/>
      <c r="C25" s="315"/>
      <c r="D25" s="50"/>
      <c r="E25" s="50"/>
      <c r="F25" s="40"/>
      <c r="G25" s="52"/>
      <c r="H25" s="284"/>
      <c r="I25" s="1"/>
    </row>
    <row r="26" spans="1:11">
      <c r="A26" s="1"/>
      <c r="B26" s="1"/>
      <c r="C26" s="61"/>
      <c r="D26" s="1"/>
      <c r="E26" s="1"/>
      <c r="F26" s="24"/>
      <c r="G26" s="1"/>
      <c r="H26" s="288"/>
      <c r="I26" s="1"/>
    </row>
    <row r="27" spans="1:11">
      <c r="A27" s="1"/>
      <c r="B27" s="1"/>
      <c r="C27" s="61"/>
      <c r="D27" s="1"/>
      <c r="E27" s="1"/>
      <c r="F27" s="1"/>
      <c r="G27" s="1"/>
      <c r="H27" s="288"/>
      <c r="I27" s="1"/>
    </row>
    <row r="28" spans="1:11">
      <c r="A28" s="1"/>
      <c r="B28" s="1"/>
      <c r="C28" s="61"/>
      <c r="D28" s="1"/>
      <c r="E28" s="1"/>
      <c r="F28" s="1"/>
      <c r="G28" s="1"/>
      <c r="H28" s="288"/>
      <c r="I28" s="1"/>
    </row>
  </sheetData>
  <phoneticPr fontId="22" type="noConversion"/>
  <printOptions gridLines="1"/>
  <pageMargins left="0.75" right="0.75" top="1" bottom="1" header="0.5" footer="0.5"/>
  <pageSetup scale="62" orientation="landscape" horizontalDpi="4294967294" verticalDpi="20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selection activeCell="H12" sqref="H12"/>
    </sheetView>
  </sheetViews>
  <sheetFormatPr defaultRowHeight="12.75"/>
  <cols>
    <col min="1" max="1" width="33.42578125" customWidth="1"/>
    <col min="2" max="5" width="10.28515625" customWidth="1"/>
    <col min="7" max="7" width="10.42578125" customWidth="1"/>
  </cols>
  <sheetData>
    <row r="1" spans="1:21" ht="18.75">
      <c r="A1" s="45" t="s">
        <v>217</v>
      </c>
      <c r="B1" s="31"/>
      <c r="C1" s="31"/>
      <c r="D1" s="31"/>
      <c r="E1" s="31" t="s">
        <v>63</v>
      </c>
      <c r="F1" s="32">
        <f>MAX(E4:E15)</f>
        <v>766</v>
      </c>
      <c r="G1" s="31" t="s">
        <v>64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>
      <c r="A2" s="175" t="s">
        <v>133</v>
      </c>
      <c r="B2" s="31"/>
      <c r="C2" s="31"/>
      <c r="D2" s="31"/>
      <c r="E2" s="31" t="s">
        <v>62</v>
      </c>
      <c r="F2" s="32">
        <f>MIN(E4:E114)</f>
        <v>0</v>
      </c>
      <c r="G2" s="31" t="s">
        <v>64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>
      <c r="B3" s="131" t="s">
        <v>58</v>
      </c>
      <c r="C3" s="131" t="s">
        <v>59</v>
      </c>
      <c r="D3" s="131" t="s">
        <v>60</v>
      </c>
      <c r="E3" s="44" t="s">
        <v>25</v>
      </c>
      <c r="G3" s="39"/>
      <c r="H3" s="2" t="s">
        <v>28</v>
      </c>
    </row>
    <row r="4" spans="1:21" ht="15">
      <c r="A4" s="349" t="s">
        <v>173</v>
      </c>
      <c r="B4" s="296">
        <v>121</v>
      </c>
      <c r="C4" s="296">
        <v>155</v>
      </c>
      <c r="D4" s="296">
        <v>276</v>
      </c>
      <c r="E4" s="252">
        <f>+B4+C4+D4</f>
        <v>552</v>
      </c>
      <c r="F4" s="146"/>
      <c r="G4" s="17"/>
      <c r="H4" s="17">
        <f>RANK($E4,$E$4:$E$15)</f>
        <v>10</v>
      </c>
    </row>
    <row r="5" spans="1:21" ht="15">
      <c r="A5" s="349" t="s">
        <v>174</v>
      </c>
      <c r="B5" s="296">
        <v>151</v>
      </c>
      <c r="C5" s="296">
        <v>161</v>
      </c>
      <c r="D5" s="296">
        <v>326</v>
      </c>
      <c r="E5" s="252">
        <f t="shared" ref="E5:E15" si="0">+B5+C5+D5</f>
        <v>638</v>
      </c>
      <c r="F5" s="146"/>
      <c r="G5" s="17"/>
      <c r="H5" s="17">
        <f>RANK($E5,$E$4:$E$15)</f>
        <v>3</v>
      </c>
    </row>
    <row r="6" spans="1:21" ht="15">
      <c r="A6" s="349" t="s">
        <v>175</v>
      </c>
      <c r="B6" s="296">
        <v>155</v>
      </c>
      <c r="C6" s="296">
        <v>163</v>
      </c>
      <c r="D6" s="296">
        <v>262</v>
      </c>
      <c r="E6" s="252">
        <f t="shared" si="0"/>
        <v>580</v>
      </c>
      <c r="F6" s="146"/>
      <c r="G6" s="17"/>
      <c r="H6" s="17">
        <f>RANK($E6,$E$4:$E$15)</f>
        <v>8</v>
      </c>
    </row>
    <row r="7" spans="1:21" s="253" customFormat="1" ht="15">
      <c r="A7" s="355" t="s">
        <v>176</v>
      </c>
      <c r="B7" s="296">
        <v>171</v>
      </c>
      <c r="C7" s="296">
        <v>202</v>
      </c>
      <c r="D7" s="296">
        <v>347</v>
      </c>
      <c r="E7" s="252">
        <f t="shared" si="0"/>
        <v>720</v>
      </c>
      <c r="F7" s="218"/>
      <c r="G7" s="248"/>
      <c r="H7" s="17">
        <f>RANK($E7,$E$4:$E$15)</f>
        <v>2</v>
      </c>
    </row>
    <row r="8" spans="1:21" s="253" customFormat="1" ht="15">
      <c r="A8" s="349" t="s">
        <v>177</v>
      </c>
      <c r="B8" s="296">
        <v>137</v>
      </c>
      <c r="C8" s="296">
        <v>137</v>
      </c>
      <c r="D8" s="296">
        <v>314</v>
      </c>
      <c r="E8" s="252">
        <f t="shared" si="0"/>
        <v>588</v>
      </c>
      <c r="F8" s="218"/>
      <c r="G8" s="248"/>
      <c r="H8" s="17">
        <f>RANK($E8,$E$4:$E$15)</f>
        <v>7</v>
      </c>
    </row>
    <row r="9" spans="1:21" s="31" customFormat="1" ht="15">
      <c r="A9" s="356" t="s">
        <v>178</v>
      </c>
      <c r="B9" s="296">
        <v>115</v>
      </c>
      <c r="C9" s="296">
        <v>145</v>
      </c>
      <c r="D9" s="296">
        <v>316</v>
      </c>
      <c r="E9" s="252">
        <f t="shared" si="0"/>
        <v>576</v>
      </c>
      <c r="F9" s="196" t="s">
        <v>48</v>
      </c>
      <c r="G9" s="17"/>
      <c r="H9" s="17">
        <f t="shared" ref="H9:H14" si="1">RANK($E9,$E$4:$E$15)</f>
        <v>9</v>
      </c>
    </row>
    <row r="10" spans="1:21" ht="26.25">
      <c r="A10" s="355" t="s">
        <v>179</v>
      </c>
      <c r="B10" s="296">
        <v>149</v>
      </c>
      <c r="C10" s="296">
        <v>164</v>
      </c>
      <c r="D10" s="296">
        <v>304</v>
      </c>
      <c r="E10" s="252">
        <f t="shared" si="0"/>
        <v>617</v>
      </c>
      <c r="F10" s="146"/>
      <c r="G10" s="17"/>
      <c r="H10" s="17">
        <f t="shared" si="1"/>
        <v>4</v>
      </c>
    </row>
    <row r="11" spans="1:21" ht="15">
      <c r="A11" s="356" t="s">
        <v>180</v>
      </c>
      <c r="B11" s="296">
        <v>142</v>
      </c>
      <c r="C11" s="296">
        <v>176</v>
      </c>
      <c r="D11" s="296">
        <v>287</v>
      </c>
      <c r="E11" s="252">
        <f t="shared" si="0"/>
        <v>605</v>
      </c>
      <c r="F11" s="146"/>
      <c r="G11" s="17"/>
      <c r="H11" s="17">
        <f t="shared" si="1"/>
        <v>6</v>
      </c>
    </row>
    <row r="12" spans="1:21" ht="15">
      <c r="A12" s="356" t="s">
        <v>181</v>
      </c>
      <c r="B12" s="296"/>
      <c r="C12" s="296"/>
      <c r="D12" s="296"/>
      <c r="E12" s="252">
        <f t="shared" si="0"/>
        <v>0</v>
      </c>
      <c r="F12" s="140"/>
      <c r="G12" s="17"/>
      <c r="H12" s="17"/>
    </row>
    <row r="13" spans="1:21" ht="15">
      <c r="A13" s="356" t="s">
        <v>182</v>
      </c>
      <c r="B13" s="406">
        <v>195</v>
      </c>
      <c r="C13" s="406">
        <v>220</v>
      </c>
      <c r="D13" s="406">
        <v>351</v>
      </c>
      <c r="E13" s="252">
        <f t="shared" si="0"/>
        <v>766</v>
      </c>
      <c r="F13" s="146" t="s">
        <v>48</v>
      </c>
      <c r="G13" s="17"/>
      <c r="H13" s="17">
        <f t="shared" si="1"/>
        <v>1</v>
      </c>
    </row>
    <row r="14" spans="1:21" ht="15">
      <c r="A14" s="356" t="s">
        <v>183</v>
      </c>
      <c r="B14" s="406">
        <v>160</v>
      </c>
      <c r="C14" s="406">
        <v>186</v>
      </c>
      <c r="D14" s="406">
        <v>271</v>
      </c>
      <c r="E14" s="252">
        <f t="shared" si="0"/>
        <v>617</v>
      </c>
      <c r="F14" s="146"/>
      <c r="G14" s="17"/>
      <c r="H14" s="17">
        <f t="shared" si="1"/>
        <v>4</v>
      </c>
    </row>
    <row r="15" spans="1:21" ht="15">
      <c r="A15" s="356" t="s">
        <v>184</v>
      </c>
      <c r="B15" s="296"/>
      <c r="C15" s="296"/>
      <c r="D15" s="296"/>
      <c r="E15" s="252">
        <f t="shared" si="0"/>
        <v>0</v>
      </c>
      <c r="F15" s="146"/>
      <c r="G15" s="17"/>
      <c r="H15" s="17"/>
    </row>
    <row r="16" spans="1:21">
      <c r="E16" s="62"/>
    </row>
    <row r="17" spans="5:5">
      <c r="E17" s="62"/>
    </row>
    <row r="18" spans="5:5">
      <c r="E18" s="62"/>
    </row>
    <row r="19" spans="5:5">
      <c r="E19" s="62"/>
    </row>
    <row r="20" spans="5:5">
      <c r="E20" s="62"/>
    </row>
    <row r="21" spans="5:5">
      <c r="E21" s="62"/>
    </row>
    <row r="22" spans="5:5">
      <c r="E22" s="62"/>
    </row>
    <row r="23" spans="5:5">
      <c r="E23" s="62"/>
    </row>
    <row r="24" spans="5:5">
      <c r="E24" s="62"/>
    </row>
    <row r="25" spans="5:5">
      <c r="E25" s="62"/>
    </row>
    <row r="26" spans="5:5">
      <c r="E26" s="62"/>
    </row>
  </sheetData>
  <phoneticPr fontId="22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0"/>
  <sheetViews>
    <sheetView workbookViewId="0">
      <pane ySplit="2" topLeftCell="A3" activePane="bottomLeft" state="frozen"/>
      <selection pane="bottomLeft" activeCell="H43" sqref="H43"/>
    </sheetView>
  </sheetViews>
  <sheetFormatPr defaultColWidth="9.140625" defaultRowHeight="12.75"/>
  <cols>
    <col min="1" max="1" width="17.5703125" style="169" customWidth="1"/>
    <col min="2" max="2" width="7.5703125" style="67" customWidth="1"/>
    <col min="3" max="3" width="10.7109375" style="169" customWidth="1"/>
    <col min="4" max="4" width="12.42578125" style="169" customWidth="1"/>
    <col min="5" max="5" width="10.28515625" style="169" customWidth="1"/>
    <col min="6" max="6" width="8" style="283" customWidth="1"/>
    <col min="7" max="7" width="11.42578125" style="170" customWidth="1"/>
    <col min="8" max="8" width="11" style="251" customWidth="1"/>
    <col min="9" max="9" width="10.7109375" style="169" customWidth="1"/>
    <col min="10" max="10" width="9.140625" style="169" customWidth="1"/>
    <col min="11" max="11" width="10.7109375" style="197" customWidth="1"/>
    <col min="12" max="12" width="10.85546875" style="169" customWidth="1"/>
    <col min="13" max="13" width="11.85546875" style="190" customWidth="1"/>
    <col min="14" max="14" width="10.7109375" style="169" customWidth="1"/>
    <col min="15" max="15" width="7.5703125" style="189" customWidth="1"/>
    <col min="16" max="16" width="3" style="189" customWidth="1"/>
    <col min="17" max="17" width="2.7109375" style="67" customWidth="1"/>
    <col min="18" max="16384" width="9.140625" style="67"/>
  </cols>
  <sheetData>
    <row r="1" spans="1:18" ht="18.75">
      <c r="A1" s="375" t="s">
        <v>205</v>
      </c>
    </row>
    <row r="2" spans="1:18" ht="77.25">
      <c r="A2" s="345" t="s">
        <v>170</v>
      </c>
      <c r="B2" s="345"/>
      <c r="C2" s="346" t="s">
        <v>158</v>
      </c>
      <c r="D2" s="346" t="s">
        <v>159</v>
      </c>
      <c r="E2" s="346" t="s">
        <v>160</v>
      </c>
      <c r="F2" s="347" t="s">
        <v>161</v>
      </c>
      <c r="G2" s="346" t="s">
        <v>162</v>
      </c>
      <c r="H2" s="348" t="s">
        <v>163</v>
      </c>
      <c r="I2" s="347" t="s">
        <v>164</v>
      </c>
      <c r="J2" s="348" t="s">
        <v>165</v>
      </c>
      <c r="K2" s="348" t="s">
        <v>166</v>
      </c>
      <c r="L2" s="348" t="s">
        <v>167</v>
      </c>
      <c r="M2" s="348" t="s">
        <v>168</v>
      </c>
      <c r="N2" s="348" t="s">
        <v>169</v>
      </c>
      <c r="O2" s="265"/>
      <c r="P2" s="265"/>
      <c r="Q2" s="175"/>
      <c r="R2" s="175"/>
    </row>
    <row r="3" spans="1:18" s="390" customFormat="1">
      <c r="A3" s="391">
        <v>1</v>
      </c>
      <c r="B3" s="391">
        <v>4</v>
      </c>
      <c r="C3" s="391">
        <v>89</v>
      </c>
      <c r="D3" s="391">
        <v>88</v>
      </c>
      <c r="E3" s="391">
        <v>91</v>
      </c>
      <c r="F3" s="391">
        <v>88</v>
      </c>
      <c r="G3" s="391"/>
      <c r="H3" s="391"/>
      <c r="I3" s="391"/>
      <c r="J3" s="391"/>
      <c r="K3" s="391"/>
      <c r="L3" s="391"/>
      <c r="M3" s="391"/>
      <c r="N3" s="391"/>
      <c r="O3" s="389">
        <f t="shared" ref="O3:O34" si="0">COUNTA(C3:N3)</f>
        <v>4</v>
      </c>
      <c r="P3" s="389"/>
    </row>
    <row r="4" spans="1:18">
      <c r="A4" s="392">
        <f>A3+1</f>
        <v>2</v>
      </c>
      <c r="B4" s="393">
        <v>4</v>
      </c>
      <c r="C4" s="394"/>
      <c r="D4" s="394"/>
      <c r="E4" s="394"/>
      <c r="F4" s="394"/>
      <c r="G4" s="391">
        <v>92</v>
      </c>
      <c r="H4" s="391">
        <v>90</v>
      </c>
      <c r="I4" s="391">
        <v>90</v>
      </c>
      <c r="J4" s="391">
        <v>51</v>
      </c>
      <c r="K4" s="394"/>
      <c r="L4" s="394"/>
      <c r="M4" s="394"/>
      <c r="N4" s="394"/>
      <c r="O4" s="389">
        <f t="shared" si="0"/>
        <v>4</v>
      </c>
      <c r="P4" s="265"/>
      <c r="Q4" s="175"/>
      <c r="R4" s="175"/>
    </row>
    <row r="5" spans="1:18">
      <c r="A5" s="392">
        <f t="shared" ref="A5:A65" si="1">A4+1</f>
        <v>3</v>
      </c>
      <c r="B5" s="393">
        <v>4</v>
      </c>
      <c r="C5" s="394"/>
      <c r="D5" s="391">
        <v>85</v>
      </c>
      <c r="E5" s="391">
        <v>85</v>
      </c>
      <c r="F5" s="391">
        <v>87</v>
      </c>
      <c r="G5" s="391">
        <v>79</v>
      </c>
      <c r="H5" s="394"/>
      <c r="I5" s="394"/>
      <c r="J5" s="394"/>
      <c r="K5" s="394"/>
      <c r="L5" s="394"/>
      <c r="M5" s="394"/>
      <c r="N5" s="394"/>
      <c r="O5" s="389">
        <f t="shared" si="0"/>
        <v>4</v>
      </c>
    </row>
    <row r="6" spans="1:18">
      <c r="A6" s="392">
        <f t="shared" si="1"/>
        <v>4</v>
      </c>
      <c r="B6" s="393">
        <v>4</v>
      </c>
      <c r="C6" s="394"/>
      <c r="D6" s="394"/>
      <c r="E6" s="394"/>
      <c r="F6" s="394"/>
      <c r="G6" s="391">
        <v>98</v>
      </c>
      <c r="H6" s="391">
        <v>99</v>
      </c>
      <c r="I6" s="391">
        <v>90</v>
      </c>
      <c r="J6" s="391">
        <v>97</v>
      </c>
      <c r="K6" s="394"/>
      <c r="L6" s="394"/>
      <c r="M6" s="394"/>
      <c r="N6" s="394"/>
      <c r="O6" s="389">
        <f t="shared" si="0"/>
        <v>4</v>
      </c>
      <c r="P6" s="351"/>
      <c r="Q6" s="350"/>
      <c r="R6" s="350"/>
    </row>
    <row r="7" spans="1:18">
      <c r="A7" s="392">
        <f t="shared" si="1"/>
        <v>5</v>
      </c>
      <c r="B7" s="393">
        <v>5</v>
      </c>
      <c r="C7" s="394"/>
      <c r="D7" s="391">
        <v>97</v>
      </c>
      <c r="E7" s="394"/>
      <c r="F7" s="394"/>
      <c r="G7" s="394"/>
      <c r="H7" s="394"/>
      <c r="I7" s="394"/>
      <c r="J7" s="391">
        <v>43</v>
      </c>
      <c r="K7" s="394"/>
      <c r="L7" s="394"/>
      <c r="M7" s="394"/>
      <c r="N7" s="394"/>
      <c r="O7" s="389">
        <f t="shared" si="0"/>
        <v>2</v>
      </c>
      <c r="P7" s="265"/>
      <c r="Q7" s="175"/>
      <c r="R7" s="218"/>
    </row>
    <row r="8" spans="1:18" s="175" customFormat="1">
      <c r="A8" s="392">
        <f t="shared" si="1"/>
        <v>6</v>
      </c>
      <c r="B8" s="393">
        <v>4</v>
      </c>
      <c r="C8" s="391">
        <v>88</v>
      </c>
      <c r="D8" s="391">
        <v>96</v>
      </c>
      <c r="E8" s="391">
        <v>81</v>
      </c>
      <c r="F8" s="391">
        <v>73</v>
      </c>
      <c r="G8" s="394"/>
      <c r="H8" s="394"/>
      <c r="I8" s="394"/>
      <c r="J8" s="394"/>
      <c r="K8" s="394"/>
      <c r="L8" s="394"/>
      <c r="M8" s="394"/>
      <c r="N8" s="394"/>
      <c r="O8" s="389">
        <f t="shared" si="0"/>
        <v>4</v>
      </c>
      <c r="P8" s="265"/>
    </row>
    <row r="9" spans="1:18">
      <c r="A9" s="392">
        <f t="shared" si="1"/>
        <v>7</v>
      </c>
      <c r="B9" s="393">
        <v>4</v>
      </c>
      <c r="C9" s="394"/>
      <c r="D9" s="394"/>
      <c r="E9" s="394"/>
      <c r="F9" s="394"/>
      <c r="G9" s="391">
        <v>83</v>
      </c>
      <c r="H9" s="391">
        <v>70</v>
      </c>
      <c r="I9" s="391">
        <v>42</v>
      </c>
      <c r="J9" s="391">
        <v>32</v>
      </c>
      <c r="K9" s="394"/>
      <c r="L9" s="394"/>
      <c r="M9" s="394"/>
      <c r="N9" s="394"/>
      <c r="O9" s="389">
        <f t="shared" si="0"/>
        <v>4</v>
      </c>
      <c r="P9" s="265"/>
      <c r="Q9" s="175"/>
      <c r="R9" s="175"/>
    </row>
    <row r="10" spans="1:18">
      <c r="A10" s="392">
        <f t="shared" si="1"/>
        <v>8</v>
      </c>
      <c r="B10" s="393"/>
      <c r="C10" s="391">
        <v>71</v>
      </c>
      <c r="D10" s="391">
        <v>85</v>
      </c>
      <c r="E10" s="391">
        <v>84</v>
      </c>
      <c r="F10" s="391">
        <v>73</v>
      </c>
      <c r="G10" s="394"/>
      <c r="H10" s="394"/>
      <c r="I10" s="394"/>
      <c r="J10" s="394"/>
      <c r="K10" s="394"/>
      <c r="L10" s="394"/>
      <c r="M10" s="394"/>
      <c r="N10" s="394"/>
      <c r="O10" s="389">
        <f t="shared" si="0"/>
        <v>4</v>
      </c>
      <c r="P10" s="265"/>
      <c r="Q10" s="350"/>
      <c r="R10" s="350"/>
    </row>
    <row r="11" spans="1:18">
      <c r="A11" s="392">
        <f t="shared" si="1"/>
        <v>9</v>
      </c>
      <c r="B11" s="393">
        <v>4</v>
      </c>
      <c r="C11" s="394"/>
      <c r="D11" s="394"/>
      <c r="E11" s="394"/>
      <c r="F11" s="394"/>
      <c r="G11" s="394"/>
      <c r="H11" s="394"/>
      <c r="I11" s="394"/>
      <c r="J11" s="394"/>
      <c r="K11" s="391">
        <v>74</v>
      </c>
      <c r="L11" s="391">
        <v>59</v>
      </c>
      <c r="M11" s="391">
        <v>50</v>
      </c>
      <c r="N11" s="391">
        <v>80</v>
      </c>
      <c r="O11" s="389">
        <f t="shared" si="0"/>
        <v>4</v>
      </c>
      <c r="P11" s="265"/>
      <c r="Q11" s="175"/>
      <c r="R11" s="175"/>
    </row>
    <row r="12" spans="1:18">
      <c r="A12" s="392">
        <f t="shared" si="1"/>
        <v>10</v>
      </c>
      <c r="B12" s="393"/>
      <c r="C12" s="394"/>
      <c r="D12" s="394"/>
      <c r="E12" s="394"/>
      <c r="F12" s="394"/>
      <c r="G12" s="394"/>
      <c r="H12" s="394"/>
      <c r="I12" s="394"/>
      <c r="J12" s="394"/>
      <c r="K12" s="394"/>
      <c r="L12" s="391">
        <v>81</v>
      </c>
      <c r="M12" s="391"/>
      <c r="N12" s="391">
        <v>82</v>
      </c>
      <c r="O12" s="389">
        <f t="shared" si="0"/>
        <v>2</v>
      </c>
      <c r="P12" s="265"/>
      <c r="Q12" s="350"/>
      <c r="R12" s="350"/>
    </row>
    <row r="13" spans="1:18">
      <c r="A13" s="392">
        <f t="shared" si="1"/>
        <v>11</v>
      </c>
      <c r="B13" s="393">
        <v>9</v>
      </c>
      <c r="C13" s="391">
        <v>70</v>
      </c>
      <c r="D13" s="391">
        <v>92</v>
      </c>
      <c r="E13" s="394"/>
      <c r="F13" s="394"/>
      <c r="G13" s="391">
        <v>92</v>
      </c>
      <c r="H13" s="391">
        <v>95</v>
      </c>
      <c r="I13" s="391">
        <v>58</v>
      </c>
      <c r="J13" s="391">
        <v>60</v>
      </c>
      <c r="K13" s="394"/>
      <c r="L13" s="391">
        <v>95</v>
      </c>
      <c r="M13" s="391">
        <v>65</v>
      </c>
      <c r="N13" s="391">
        <v>78</v>
      </c>
      <c r="O13" s="389">
        <f t="shared" si="0"/>
        <v>9</v>
      </c>
      <c r="P13" s="265"/>
      <c r="Q13" s="350"/>
      <c r="R13" s="350"/>
    </row>
    <row r="14" spans="1:18">
      <c r="A14" s="392">
        <f t="shared" si="1"/>
        <v>12</v>
      </c>
      <c r="B14" s="393">
        <v>4</v>
      </c>
      <c r="C14" s="394"/>
      <c r="D14" s="394"/>
      <c r="E14" s="394"/>
      <c r="F14" s="394"/>
      <c r="G14" s="391">
        <v>94</v>
      </c>
      <c r="H14" s="391">
        <v>74</v>
      </c>
      <c r="I14" s="391">
        <v>58</v>
      </c>
      <c r="J14" s="391">
        <v>37</v>
      </c>
      <c r="K14" s="394"/>
      <c r="L14" s="394"/>
      <c r="M14" s="394"/>
      <c r="N14" s="394"/>
      <c r="O14" s="389">
        <f t="shared" si="0"/>
        <v>4</v>
      </c>
      <c r="P14" s="265"/>
      <c r="Q14" s="175"/>
      <c r="R14" s="175"/>
    </row>
    <row r="15" spans="1:18">
      <c r="A15" s="392">
        <f t="shared" si="1"/>
        <v>13</v>
      </c>
      <c r="B15" s="393">
        <v>4</v>
      </c>
      <c r="C15" s="391">
        <v>75</v>
      </c>
      <c r="D15" s="391">
        <v>64</v>
      </c>
      <c r="E15" s="391">
        <v>77</v>
      </c>
      <c r="F15" s="391">
        <v>52</v>
      </c>
      <c r="G15" s="394"/>
      <c r="H15" s="394"/>
      <c r="I15" s="394"/>
      <c r="J15" s="394"/>
      <c r="K15" s="394"/>
      <c r="L15" s="394"/>
      <c r="M15" s="394"/>
      <c r="N15" s="394"/>
      <c r="O15" s="389">
        <f t="shared" si="0"/>
        <v>4</v>
      </c>
      <c r="P15" s="265"/>
      <c r="Q15" s="175"/>
      <c r="R15" s="175"/>
    </row>
    <row r="16" spans="1:18">
      <c r="A16" s="392">
        <f t="shared" si="1"/>
        <v>14</v>
      </c>
      <c r="B16" s="393">
        <v>8</v>
      </c>
      <c r="C16" s="394"/>
      <c r="D16" s="394"/>
      <c r="E16" s="394"/>
      <c r="F16" s="394"/>
      <c r="G16" s="394"/>
      <c r="H16" s="394"/>
      <c r="I16" s="394"/>
      <c r="J16" s="394"/>
      <c r="K16" s="394"/>
      <c r="L16" s="391">
        <v>93</v>
      </c>
      <c r="M16" s="391">
        <v>80</v>
      </c>
      <c r="N16" s="391">
        <v>89</v>
      </c>
      <c r="O16" s="389">
        <f t="shared" si="0"/>
        <v>3</v>
      </c>
      <c r="P16" s="265"/>
      <c r="Q16" s="175"/>
      <c r="R16" s="175"/>
    </row>
    <row r="17" spans="1:19">
      <c r="A17" s="392">
        <f t="shared" si="1"/>
        <v>15</v>
      </c>
      <c r="B17" s="393">
        <v>4</v>
      </c>
      <c r="C17" s="391">
        <v>86</v>
      </c>
      <c r="D17" s="391">
        <v>93</v>
      </c>
      <c r="E17" s="391">
        <v>97</v>
      </c>
      <c r="F17" s="391"/>
      <c r="G17" s="391"/>
      <c r="H17" s="391"/>
      <c r="I17" s="391"/>
      <c r="J17" s="391"/>
      <c r="K17" s="391"/>
      <c r="L17" s="391"/>
      <c r="M17" s="391"/>
      <c r="N17" s="391">
        <v>98</v>
      </c>
      <c r="O17" s="389">
        <f t="shared" si="0"/>
        <v>4</v>
      </c>
      <c r="P17" s="265"/>
      <c r="Q17" s="175"/>
      <c r="R17" s="175"/>
    </row>
    <row r="18" spans="1:19">
      <c r="A18" s="392">
        <f t="shared" si="1"/>
        <v>16</v>
      </c>
      <c r="B18" s="393">
        <v>4</v>
      </c>
      <c r="C18" s="394"/>
      <c r="D18" s="394"/>
      <c r="E18" s="394"/>
      <c r="F18" s="394"/>
      <c r="G18" s="394"/>
      <c r="H18" s="394"/>
      <c r="I18" s="394"/>
      <c r="J18" s="391">
        <v>43</v>
      </c>
      <c r="K18" s="391">
        <v>72</v>
      </c>
      <c r="L18" s="391">
        <v>92</v>
      </c>
      <c r="M18" s="391">
        <v>42</v>
      </c>
      <c r="N18" s="394"/>
      <c r="O18" s="389">
        <f t="shared" si="0"/>
        <v>4</v>
      </c>
      <c r="P18" s="265"/>
      <c r="Q18" s="175"/>
      <c r="R18" s="175"/>
    </row>
    <row r="19" spans="1:19">
      <c r="A19" s="392">
        <f t="shared" si="1"/>
        <v>17</v>
      </c>
      <c r="B19" s="393">
        <v>12</v>
      </c>
      <c r="C19" s="391">
        <v>40</v>
      </c>
      <c r="D19" s="391">
        <v>90</v>
      </c>
      <c r="E19" s="391">
        <v>71</v>
      </c>
      <c r="F19" s="391">
        <v>57</v>
      </c>
      <c r="G19" s="391">
        <v>63</v>
      </c>
      <c r="H19" s="391">
        <v>57</v>
      </c>
      <c r="I19" s="391">
        <v>60</v>
      </c>
      <c r="J19" s="391">
        <v>40</v>
      </c>
      <c r="K19" s="391">
        <v>46</v>
      </c>
      <c r="L19" s="391">
        <v>66</v>
      </c>
      <c r="M19" s="391">
        <v>57</v>
      </c>
      <c r="N19" s="391">
        <v>62</v>
      </c>
      <c r="O19" s="389">
        <f t="shared" si="0"/>
        <v>12</v>
      </c>
      <c r="P19" s="265"/>
      <c r="Q19" s="175"/>
      <c r="R19" s="175"/>
    </row>
    <row r="20" spans="1:19">
      <c r="A20" s="392">
        <f t="shared" si="1"/>
        <v>18</v>
      </c>
      <c r="B20" s="393">
        <v>4</v>
      </c>
      <c r="C20" s="394"/>
      <c r="D20" s="394"/>
      <c r="E20" s="394"/>
      <c r="F20" s="391">
        <v>61</v>
      </c>
      <c r="G20" s="391">
        <v>95</v>
      </c>
      <c r="H20" s="391">
        <v>94</v>
      </c>
      <c r="I20" s="391">
        <v>81</v>
      </c>
      <c r="J20" s="394"/>
      <c r="K20" s="394"/>
      <c r="L20" s="394"/>
      <c r="M20" s="394"/>
      <c r="N20" s="394"/>
      <c r="O20" s="389">
        <f t="shared" si="0"/>
        <v>4</v>
      </c>
      <c r="P20" s="265"/>
      <c r="Q20" s="175"/>
      <c r="R20" s="175"/>
    </row>
    <row r="21" spans="1:19">
      <c r="A21" s="392">
        <f t="shared" si="1"/>
        <v>19</v>
      </c>
      <c r="B21" s="393"/>
      <c r="C21" s="394"/>
      <c r="D21" s="394"/>
      <c r="E21" s="394"/>
      <c r="F21" s="391"/>
      <c r="G21" s="391"/>
      <c r="H21" s="391"/>
      <c r="I21" s="391">
        <v>53</v>
      </c>
      <c r="J21" s="394"/>
      <c r="K21" s="394"/>
      <c r="L21" s="394"/>
      <c r="M21" s="394"/>
      <c r="N21" s="394"/>
      <c r="O21" s="389">
        <f t="shared" si="0"/>
        <v>1</v>
      </c>
      <c r="P21" s="265"/>
      <c r="Q21" s="350"/>
      <c r="R21" s="350"/>
    </row>
    <row r="22" spans="1:19">
      <c r="A22" s="392">
        <f t="shared" si="1"/>
        <v>20</v>
      </c>
      <c r="B22" s="393"/>
      <c r="C22" s="394"/>
      <c r="D22" s="394"/>
      <c r="E22" s="394"/>
      <c r="F22" s="394"/>
      <c r="G22" s="394"/>
      <c r="H22" s="394"/>
      <c r="I22" s="394"/>
      <c r="J22" s="394"/>
      <c r="K22" s="391">
        <v>35</v>
      </c>
      <c r="L22" s="391">
        <v>67</v>
      </c>
      <c r="M22" s="391">
        <v>34</v>
      </c>
      <c r="N22" s="391">
        <v>68</v>
      </c>
      <c r="O22" s="389">
        <f t="shared" si="0"/>
        <v>4</v>
      </c>
      <c r="P22" s="265"/>
      <c r="Q22" s="350"/>
      <c r="R22" s="350"/>
    </row>
    <row r="23" spans="1:19">
      <c r="A23" s="392">
        <f t="shared" si="1"/>
        <v>21</v>
      </c>
      <c r="B23" s="393">
        <v>4</v>
      </c>
      <c r="C23" s="391">
        <v>90</v>
      </c>
      <c r="D23" s="394"/>
      <c r="E23" s="394"/>
      <c r="F23" s="394"/>
      <c r="G23" s="394"/>
      <c r="H23" s="394"/>
      <c r="I23" s="394"/>
      <c r="J23" s="394"/>
      <c r="K23" s="394"/>
      <c r="L23" s="391">
        <v>97</v>
      </c>
      <c r="M23" s="391">
        <v>62</v>
      </c>
      <c r="N23" s="391">
        <v>91</v>
      </c>
      <c r="O23" s="389">
        <f t="shared" si="0"/>
        <v>4</v>
      </c>
    </row>
    <row r="24" spans="1:19">
      <c r="A24" s="392">
        <f t="shared" si="1"/>
        <v>22</v>
      </c>
      <c r="B24" s="393"/>
      <c r="C24" s="394"/>
      <c r="D24" s="394"/>
      <c r="E24" s="394"/>
      <c r="F24" s="394"/>
      <c r="G24" s="394"/>
      <c r="H24" s="394"/>
      <c r="I24" s="391">
        <v>86</v>
      </c>
      <c r="J24" s="394"/>
      <c r="K24" s="394"/>
      <c r="L24" s="394"/>
      <c r="M24" s="394"/>
      <c r="N24" s="394"/>
      <c r="O24" s="389">
        <f t="shared" si="0"/>
        <v>1</v>
      </c>
      <c r="P24" s="265"/>
      <c r="Q24" s="350"/>
      <c r="R24" s="350"/>
    </row>
    <row r="25" spans="1:19">
      <c r="A25" s="392">
        <f t="shared" si="1"/>
        <v>23</v>
      </c>
      <c r="B25" s="393">
        <v>4</v>
      </c>
      <c r="C25" s="394"/>
      <c r="D25" s="394"/>
      <c r="E25" s="394"/>
      <c r="F25" s="394"/>
      <c r="G25" s="394"/>
      <c r="H25" s="391">
        <v>94</v>
      </c>
      <c r="I25" s="394"/>
      <c r="J25" s="391">
        <v>75</v>
      </c>
      <c r="K25" s="394"/>
      <c r="L25" s="394"/>
      <c r="M25" s="394"/>
      <c r="N25" s="394"/>
      <c r="O25" s="389">
        <f t="shared" si="0"/>
        <v>2</v>
      </c>
    </row>
    <row r="26" spans="1:19">
      <c r="A26" s="392">
        <f t="shared" si="1"/>
        <v>24</v>
      </c>
      <c r="B26" s="393">
        <v>17</v>
      </c>
      <c r="C26" s="391">
        <v>33</v>
      </c>
      <c r="D26" s="391">
        <v>97</v>
      </c>
      <c r="E26" s="391">
        <v>98</v>
      </c>
      <c r="F26" s="391">
        <v>53</v>
      </c>
      <c r="G26" s="391">
        <v>83</v>
      </c>
      <c r="H26" s="391">
        <v>68</v>
      </c>
      <c r="I26" s="391">
        <v>61</v>
      </c>
      <c r="J26" s="391">
        <v>47</v>
      </c>
      <c r="K26" s="391">
        <v>74</v>
      </c>
      <c r="L26" s="391">
        <v>87</v>
      </c>
      <c r="M26" s="391">
        <v>28</v>
      </c>
      <c r="N26" s="391">
        <v>37</v>
      </c>
      <c r="O26" s="389">
        <f t="shared" si="0"/>
        <v>12</v>
      </c>
      <c r="P26" s="265"/>
      <c r="Q26" s="175"/>
      <c r="R26" s="175"/>
    </row>
    <row r="27" spans="1:19">
      <c r="A27" s="392">
        <f t="shared" si="1"/>
        <v>25</v>
      </c>
      <c r="B27" s="393">
        <v>4</v>
      </c>
      <c r="C27" s="394"/>
      <c r="D27" s="394"/>
      <c r="E27" s="394"/>
      <c r="F27" s="391">
        <v>49</v>
      </c>
      <c r="G27" s="391">
        <v>56</v>
      </c>
      <c r="H27" s="391">
        <v>69</v>
      </c>
      <c r="I27" s="391">
        <v>68</v>
      </c>
      <c r="J27" s="394"/>
      <c r="K27" s="394"/>
      <c r="L27" s="394"/>
      <c r="M27" s="394"/>
      <c r="N27" s="394"/>
      <c r="O27" s="389">
        <f t="shared" si="0"/>
        <v>4</v>
      </c>
      <c r="P27" s="265"/>
      <c r="Q27" s="175"/>
      <c r="R27" s="175"/>
    </row>
    <row r="28" spans="1:19">
      <c r="A28" s="392">
        <f t="shared" si="1"/>
        <v>26</v>
      </c>
      <c r="B28" s="393">
        <v>4</v>
      </c>
      <c r="C28" s="394"/>
      <c r="D28" s="394"/>
      <c r="E28" s="394"/>
      <c r="F28" s="391">
        <v>73</v>
      </c>
      <c r="G28" s="391">
        <v>91</v>
      </c>
      <c r="H28" s="391">
        <v>80</v>
      </c>
      <c r="I28" s="391">
        <v>85</v>
      </c>
      <c r="J28" s="394"/>
      <c r="K28" s="394"/>
      <c r="L28" s="394"/>
      <c r="M28" s="394"/>
      <c r="N28" s="394"/>
      <c r="O28" s="389">
        <f t="shared" si="0"/>
        <v>4</v>
      </c>
      <c r="P28" s="265"/>
      <c r="Q28" s="175"/>
      <c r="R28" s="175"/>
    </row>
    <row r="29" spans="1:19">
      <c r="A29" s="392">
        <f t="shared" si="1"/>
        <v>27</v>
      </c>
      <c r="B29" s="393">
        <v>4</v>
      </c>
      <c r="C29" s="394"/>
      <c r="D29" s="394"/>
      <c r="E29" s="394"/>
      <c r="F29" s="394"/>
      <c r="G29" s="394"/>
      <c r="H29" s="394"/>
      <c r="I29" s="394"/>
      <c r="J29" s="394"/>
      <c r="K29" s="391">
        <v>91</v>
      </c>
      <c r="L29" s="391">
        <v>95</v>
      </c>
      <c r="M29" s="391">
        <v>76</v>
      </c>
      <c r="N29" s="391">
        <v>93</v>
      </c>
      <c r="O29" s="389">
        <f t="shared" si="0"/>
        <v>4</v>
      </c>
    </row>
    <row r="30" spans="1:19">
      <c r="A30" s="392">
        <f t="shared" si="1"/>
        <v>28</v>
      </c>
      <c r="B30" s="393">
        <v>4</v>
      </c>
      <c r="C30" s="394"/>
      <c r="D30" s="394"/>
      <c r="E30" s="394"/>
      <c r="F30" s="394"/>
      <c r="G30" s="394"/>
      <c r="H30" s="394"/>
      <c r="I30" s="394"/>
      <c r="J30" s="391">
        <v>49</v>
      </c>
      <c r="K30" s="391">
        <v>85</v>
      </c>
      <c r="L30" s="391">
        <v>91</v>
      </c>
      <c r="M30" s="391">
        <v>59</v>
      </c>
      <c r="N30" s="394"/>
      <c r="O30" s="389">
        <f t="shared" si="0"/>
        <v>4</v>
      </c>
      <c r="P30" s="265"/>
      <c r="Q30" s="175"/>
      <c r="R30" s="175"/>
    </row>
    <row r="31" spans="1:19">
      <c r="A31" s="392">
        <f t="shared" si="1"/>
        <v>29</v>
      </c>
      <c r="B31" s="393">
        <v>4</v>
      </c>
      <c r="C31" s="391">
        <v>25</v>
      </c>
      <c r="D31" s="391">
        <v>66</v>
      </c>
      <c r="E31" s="391">
        <v>77</v>
      </c>
      <c r="F31" s="394"/>
      <c r="G31" s="394"/>
      <c r="H31" s="394"/>
      <c r="I31" s="394"/>
      <c r="J31" s="394"/>
      <c r="K31" s="394"/>
      <c r="L31" s="394"/>
      <c r="M31" s="394"/>
      <c r="N31" s="391">
        <v>56</v>
      </c>
      <c r="O31" s="389">
        <f t="shared" si="0"/>
        <v>4</v>
      </c>
      <c r="P31" s="265"/>
      <c r="Q31" s="175"/>
      <c r="R31" s="175"/>
      <c r="S31" s="281"/>
    </row>
    <row r="32" spans="1:19">
      <c r="A32" s="392">
        <f t="shared" si="1"/>
        <v>30</v>
      </c>
      <c r="B32" s="393">
        <v>4</v>
      </c>
      <c r="C32" s="391">
        <v>72</v>
      </c>
      <c r="D32" s="391"/>
      <c r="E32" s="391"/>
      <c r="F32" s="394"/>
      <c r="G32" s="394"/>
      <c r="H32" s="394"/>
      <c r="I32" s="394"/>
      <c r="J32" s="394"/>
      <c r="K32" s="394"/>
      <c r="L32" s="391">
        <v>86</v>
      </c>
      <c r="M32" s="391">
        <v>68</v>
      </c>
      <c r="N32" s="391">
        <v>75</v>
      </c>
      <c r="O32" s="389">
        <f t="shared" si="0"/>
        <v>4</v>
      </c>
      <c r="P32" s="265"/>
      <c r="Q32" s="350"/>
      <c r="R32" s="350"/>
      <c r="S32" s="281"/>
    </row>
    <row r="33" spans="1:16">
      <c r="A33" s="392">
        <f t="shared" si="1"/>
        <v>31</v>
      </c>
      <c r="B33" s="393">
        <v>4</v>
      </c>
      <c r="C33" s="394"/>
      <c r="D33" s="394"/>
      <c r="E33" s="394"/>
      <c r="F33" s="394"/>
      <c r="G33" s="394"/>
      <c r="H33" s="394"/>
      <c r="I33" s="394"/>
      <c r="J33" s="391">
        <v>15</v>
      </c>
      <c r="K33" s="391">
        <v>66</v>
      </c>
      <c r="L33" s="391">
        <v>77</v>
      </c>
      <c r="M33" s="391">
        <v>47</v>
      </c>
      <c r="N33" s="394"/>
      <c r="O33" s="389">
        <f t="shared" si="0"/>
        <v>4</v>
      </c>
    </row>
    <row r="34" spans="1:16">
      <c r="A34" s="392">
        <f t="shared" si="1"/>
        <v>32</v>
      </c>
      <c r="B34" s="393">
        <v>4</v>
      </c>
      <c r="C34" s="394"/>
      <c r="D34" s="394"/>
      <c r="E34" s="394"/>
      <c r="F34" s="394"/>
      <c r="G34" s="394"/>
      <c r="H34" s="391">
        <v>88</v>
      </c>
      <c r="I34" s="391">
        <v>75</v>
      </c>
      <c r="J34" s="391">
        <v>32</v>
      </c>
      <c r="K34" s="391">
        <v>80</v>
      </c>
      <c r="L34" s="394"/>
      <c r="M34" s="394"/>
      <c r="N34" s="394"/>
      <c r="O34" s="389">
        <f t="shared" si="0"/>
        <v>4</v>
      </c>
    </row>
    <row r="35" spans="1:16">
      <c r="A35" s="392">
        <f t="shared" si="1"/>
        <v>33</v>
      </c>
      <c r="B35" s="393">
        <v>4</v>
      </c>
      <c r="C35" s="394"/>
      <c r="D35" s="391">
        <v>89</v>
      </c>
      <c r="E35" s="391">
        <v>93</v>
      </c>
      <c r="F35" s="391">
        <v>87</v>
      </c>
      <c r="G35" s="391">
        <v>83</v>
      </c>
      <c r="H35" s="394"/>
      <c r="I35" s="394"/>
      <c r="J35" s="394"/>
      <c r="K35" s="394"/>
      <c r="L35" s="394"/>
      <c r="M35" s="394"/>
      <c r="N35" s="394"/>
      <c r="O35" s="389">
        <f t="shared" ref="O35:O60" si="2">COUNTA(C35:N35)</f>
        <v>4</v>
      </c>
    </row>
    <row r="36" spans="1:16">
      <c r="A36" s="392">
        <f t="shared" si="1"/>
        <v>34</v>
      </c>
      <c r="B36" s="393">
        <v>4</v>
      </c>
      <c r="C36" s="394"/>
      <c r="D36" s="391">
        <v>72</v>
      </c>
      <c r="E36" s="391">
        <v>66</v>
      </c>
      <c r="F36" s="391">
        <v>65</v>
      </c>
      <c r="G36" s="391">
        <v>77</v>
      </c>
      <c r="H36" s="394"/>
      <c r="I36" s="394"/>
      <c r="J36" s="394"/>
      <c r="K36" s="394"/>
      <c r="L36" s="394"/>
      <c r="M36" s="394"/>
      <c r="N36" s="394"/>
      <c r="O36" s="389">
        <f t="shared" si="2"/>
        <v>4</v>
      </c>
    </row>
    <row r="37" spans="1:16">
      <c r="A37" s="392">
        <f t="shared" si="1"/>
        <v>35</v>
      </c>
      <c r="B37" s="393">
        <v>12</v>
      </c>
      <c r="C37" s="391">
        <v>51</v>
      </c>
      <c r="D37" s="391">
        <v>78</v>
      </c>
      <c r="E37" s="391">
        <v>82</v>
      </c>
      <c r="F37" s="391">
        <v>80</v>
      </c>
      <c r="G37" s="391">
        <v>65</v>
      </c>
      <c r="H37" s="391">
        <v>70</v>
      </c>
      <c r="I37" s="391">
        <v>55</v>
      </c>
      <c r="J37" s="391">
        <v>45</v>
      </c>
      <c r="K37" s="391">
        <v>78</v>
      </c>
      <c r="L37" s="391">
        <v>71</v>
      </c>
      <c r="M37" s="391">
        <v>46</v>
      </c>
      <c r="N37" s="391">
        <v>71</v>
      </c>
      <c r="O37" s="389">
        <f t="shared" si="2"/>
        <v>12</v>
      </c>
    </row>
    <row r="38" spans="1:16">
      <c r="A38" s="392">
        <f t="shared" si="1"/>
        <v>36</v>
      </c>
      <c r="B38" s="393">
        <v>2</v>
      </c>
      <c r="C38" s="394"/>
      <c r="D38" s="394"/>
      <c r="E38" s="394"/>
      <c r="F38" s="394"/>
      <c r="G38" s="394"/>
      <c r="H38" s="394"/>
      <c r="I38" s="394"/>
      <c r="J38" s="394"/>
      <c r="K38" s="394"/>
      <c r="L38" s="391">
        <v>95</v>
      </c>
      <c r="M38" s="391">
        <v>60</v>
      </c>
      <c r="N38" s="394"/>
      <c r="O38" s="389">
        <f t="shared" si="2"/>
        <v>2</v>
      </c>
    </row>
    <row r="39" spans="1:16">
      <c r="A39" s="392">
        <f t="shared" si="1"/>
        <v>37</v>
      </c>
      <c r="B39" s="393">
        <v>4</v>
      </c>
      <c r="C39" s="394"/>
      <c r="D39" s="394"/>
      <c r="E39" s="394"/>
      <c r="F39" s="394"/>
      <c r="G39" s="391">
        <v>92</v>
      </c>
      <c r="H39" s="391">
        <v>91</v>
      </c>
      <c r="I39" s="391">
        <v>75</v>
      </c>
      <c r="J39" s="391">
        <v>83</v>
      </c>
      <c r="K39" s="394"/>
      <c r="L39" s="394"/>
      <c r="M39" s="394"/>
      <c r="N39" s="394"/>
      <c r="O39" s="389">
        <f t="shared" si="2"/>
        <v>4</v>
      </c>
    </row>
    <row r="40" spans="1:16">
      <c r="A40" s="392">
        <f t="shared" si="1"/>
        <v>38</v>
      </c>
      <c r="B40" s="393">
        <v>4</v>
      </c>
      <c r="C40" s="391">
        <v>89</v>
      </c>
      <c r="D40" s="391">
        <v>96</v>
      </c>
      <c r="E40" s="391">
        <v>91</v>
      </c>
      <c r="F40" s="391">
        <v>87</v>
      </c>
      <c r="G40" s="394"/>
      <c r="H40" s="394"/>
      <c r="I40" s="394"/>
      <c r="J40" s="394"/>
      <c r="K40" s="394"/>
      <c r="L40" s="394"/>
      <c r="M40" s="394"/>
      <c r="N40" s="394"/>
      <c r="O40" s="389">
        <f t="shared" si="2"/>
        <v>4</v>
      </c>
    </row>
    <row r="41" spans="1:16" s="390" customFormat="1">
      <c r="A41" s="392">
        <f t="shared" si="1"/>
        <v>39</v>
      </c>
      <c r="B41" s="391">
        <v>4</v>
      </c>
      <c r="C41" s="391"/>
      <c r="D41" s="391"/>
      <c r="E41" s="391"/>
      <c r="F41" s="391">
        <v>72</v>
      </c>
      <c r="G41" s="391"/>
      <c r="H41" s="391"/>
      <c r="I41" s="391"/>
      <c r="J41" s="391"/>
      <c r="K41" s="391">
        <v>54</v>
      </c>
      <c r="L41" s="391">
        <v>79</v>
      </c>
      <c r="M41" s="391">
        <v>41</v>
      </c>
      <c r="N41" s="391">
        <v>87</v>
      </c>
      <c r="O41" s="389">
        <f t="shared" si="2"/>
        <v>5</v>
      </c>
      <c r="P41" s="389"/>
    </row>
    <row r="42" spans="1:16">
      <c r="A42" s="392">
        <f t="shared" si="1"/>
        <v>40</v>
      </c>
      <c r="B42" s="393">
        <v>4</v>
      </c>
      <c r="C42" s="391">
        <v>30</v>
      </c>
      <c r="D42" s="391">
        <v>68</v>
      </c>
      <c r="E42" s="391">
        <v>85</v>
      </c>
      <c r="F42" s="391">
        <v>44</v>
      </c>
      <c r="G42" s="394"/>
      <c r="H42" s="394"/>
      <c r="I42" s="394"/>
      <c r="J42" s="394"/>
      <c r="K42" s="394"/>
      <c r="L42" s="394"/>
      <c r="M42" s="394"/>
      <c r="N42" s="394"/>
      <c r="O42" s="389">
        <f t="shared" si="2"/>
        <v>4</v>
      </c>
    </row>
    <row r="43" spans="1:16">
      <c r="A43" s="392">
        <f t="shared" si="1"/>
        <v>41</v>
      </c>
      <c r="B43" s="393">
        <v>4</v>
      </c>
      <c r="C43" s="394"/>
      <c r="D43" s="394"/>
      <c r="E43" s="394"/>
      <c r="F43" s="394"/>
      <c r="G43" s="391">
        <v>68</v>
      </c>
      <c r="H43" s="391">
        <v>80</v>
      </c>
      <c r="I43" s="394"/>
      <c r="J43" s="394"/>
      <c r="K43" s="394"/>
      <c r="L43" s="394"/>
      <c r="M43" s="394"/>
      <c r="N43" s="394"/>
      <c r="O43" s="389">
        <f t="shared" si="2"/>
        <v>2</v>
      </c>
    </row>
    <row r="44" spans="1:16">
      <c r="A44" s="392">
        <f t="shared" si="1"/>
        <v>42</v>
      </c>
      <c r="B44" s="393">
        <v>4</v>
      </c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1">
        <v>67</v>
      </c>
      <c r="N44" s="391">
        <v>80</v>
      </c>
      <c r="O44" s="389">
        <f t="shared" si="2"/>
        <v>2</v>
      </c>
    </row>
    <row r="45" spans="1:16">
      <c r="A45" s="392">
        <f t="shared" si="1"/>
        <v>43</v>
      </c>
      <c r="B45" s="393">
        <v>5</v>
      </c>
      <c r="C45" s="394"/>
      <c r="D45" s="391">
        <v>93</v>
      </c>
      <c r="E45" s="391">
        <v>92</v>
      </c>
      <c r="F45" s="391">
        <v>72</v>
      </c>
      <c r="G45" s="391">
        <v>98</v>
      </c>
      <c r="H45" s="394"/>
      <c r="I45" s="394"/>
      <c r="J45" s="394"/>
      <c r="K45" s="394"/>
      <c r="L45" s="394"/>
      <c r="M45" s="394"/>
      <c r="N45" s="394"/>
      <c r="O45" s="389">
        <f t="shared" si="2"/>
        <v>4</v>
      </c>
    </row>
    <row r="46" spans="1:16">
      <c r="A46" s="392">
        <f t="shared" si="1"/>
        <v>44</v>
      </c>
      <c r="B46" s="393">
        <v>4</v>
      </c>
      <c r="C46" s="394"/>
      <c r="D46" s="394"/>
      <c r="E46" s="394"/>
      <c r="F46" s="394"/>
      <c r="G46" s="394"/>
      <c r="H46" s="391">
        <v>78.5</v>
      </c>
      <c r="I46" s="391">
        <v>70.5</v>
      </c>
      <c r="J46" s="391">
        <v>32</v>
      </c>
      <c r="K46" s="391">
        <v>63</v>
      </c>
      <c r="L46" s="394"/>
      <c r="M46" s="394"/>
      <c r="N46" s="394"/>
      <c r="O46" s="389">
        <f t="shared" si="2"/>
        <v>4</v>
      </c>
    </row>
    <row r="47" spans="1:16" s="350" customFormat="1">
      <c r="A47" s="392">
        <f t="shared" si="1"/>
        <v>45</v>
      </c>
      <c r="B47" s="393"/>
      <c r="C47" s="394"/>
      <c r="D47" s="391">
        <v>86</v>
      </c>
      <c r="E47" s="391">
        <v>91</v>
      </c>
      <c r="F47" s="391">
        <v>86</v>
      </c>
      <c r="G47" s="391">
        <v>80</v>
      </c>
      <c r="H47" s="394"/>
      <c r="I47" s="394"/>
      <c r="J47" s="394"/>
      <c r="K47" s="394"/>
      <c r="L47" s="394"/>
      <c r="M47" s="394"/>
      <c r="N47" s="394"/>
      <c r="O47" s="389">
        <f t="shared" si="2"/>
        <v>4</v>
      </c>
      <c r="P47" s="265"/>
    </row>
    <row r="48" spans="1:16">
      <c r="A48" s="392">
        <f t="shared" si="1"/>
        <v>46</v>
      </c>
      <c r="B48" s="393"/>
      <c r="C48" s="391">
        <v>70</v>
      </c>
      <c r="D48" s="391">
        <v>88</v>
      </c>
      <c r="E48" s="391">
        <v>86</v>
      </c>
      <c r="F48" s="391">
        <v>75</v>
      </c>
      <c r="G48" s="394"/>
      <c r="H48" s="394"/>
      <c r="I48" s="394"/>
      <c r="J48" s="394"/>
      <c r="K48" s="394"/>
      <c r="L48" s="394"/>
      <c r="M48" s="394"/>
      <c r="N48" s="394"/>
      <c r="O48" s="389">
        <f t="shared" si="2"/>
        <v>4</v>
      </c>
    </row>
    <row r="49" spans="1:15">
      <c r="A49" s="392">
        <f t="shared" si="1"/>
        <v>47</v>
      </c>
      <c r="B49" s="393">
        <v>4</v>
      </c>
      <c r="C49" s="394"/>
      <c r="D49" s="391">
        <v>55</v>
      </c>
      <c r="E49" s="391">
        <v>70.5</v>
      </c>
      <c r="F49" s="391">
        <v>52</v>
      </c>
      <c r="G49" s="391">
        <v>44.5</v>
      </c>
      <c r="H49" s="394"/>
      <c r="I49" s="394"/>
      <c r="J49" s="394"/>
      <c r="K49" s="394"/>
      <c r="L49" s="394"/>
      <c r="M49" s="394"/>
      <c r="N49" s="394"/>
      <c r="O49" s="389">
        <f t="shared" si="2"/>
        <v>4</v>
      </c>
    </row>
    <row r="50" spans="1:15">
      <c r="A50" s="392">
        <f t="shared" si="1"/>
        <v>48</v>
      </c>
      <c r="B50" s="393">
        <v>4</v>
      </c>
      <c r="C50" s="394"/>
      <c r="D50" s="394"/>
      <c r="E50" s="394"/>
      <c r="F50" s="394"/>
      <c r="G50" s="394"/>
      <c r="H50" s="391">
        <v>96</v>
      </c>
      <c r="I50" s="391">
        <v>53</v>
      </c>
      <c r="J50" s="391">
        <v>29</v>
      </c>
      <c r="K50" s="391">
        <v>95</v>
      </c>
      <c r="L50" s="394"/>
      <c r="M50" s="394"/>
      <c r="N50" s="394"/>
      <c r="O50" s="389">
        <f t="shared" si="2"/>
        <v>4</v>
      </c>
    </row>
    <row r="51" spans="1:15">
      <c r="A51" s="392">
        <f t="shared" si="1"/>
        <v>49</v>
      </c>
      <c r="B51" s="393">
        <v>4</v>
      </c>
      <c r="C51" s="394"/>
      <c r="D51" s="391">
        <v>83</v>
      </c>
      <c r="E51" s="391">
        <v>86</v>
      </c>
      <c r="F51" s="391">
        <v>69</v>
      </c>
      <c r="G51" s="391">
        <v>66</v>
      </c>
      <c r="H51" s="394"/>
      <c r="I51" s="394"/>
      <c r="J51" s="394"/>
      <c r="K51" s="394"/>
      <c r="L51" s="394"/>
      <c r="M51" s="394"/>
      <c r="N51" s="394"/>
      <c r="O51" s="389">
        <f t="shared" si="2"/>
        <v>4</v>
      </c>
    </row>
    <row r="52" spans="1:15">
      <c r="A52" s="392">
        <f t="shared" si="1"/>
        <v>50</v>
      </c>
      <c r="B52" s="393">
        <v>4</v>
      </c>
      <c r="C52" s="391">
        <v>72</v>
      </c>
      <c r="D52" s="394"/>
      <c r="E52" s="394"/>
      <c r="F52" s="394"/>
      <c r="G52" s="394"/>
      <c r="H52" s="394"/>
      <c r="I52" s="394"/>
      <c r="J52" s="394"/>
      <c r="K52" s="394"/>
      <c r="L52" s="391">
        <v>78</v>
      </c>
      <c r="M52" s="391">
        <v>54</v>
      </c>
      <c r="N52" s="391">
        <v>74</v>
      </c>
      <c r="O52" s="389">
        <f t="shared" si="2"/>
        <v>4</v>
      </c>
    </row>
    <row r="53" spans="1:15">
      <c r="A53" s="392">
        <f t="shared" si="1"/>
        <v>51</v>
      </c>
      <c r="B53" s="393">
        <v>4</v>
      </c>
      <c r="C53" s="394"/>
      <c r="D53" s="394"/>
      <c r="E53" s="394"/>
      <c r="F53" s="394"/>
      <c r="G53" s="394"/>
      <c r="H53" s="391">
        <v>85</v>
      </c>
      <c r="I53" s="391">
        <v>49</v>
      </c>
      <c r="J53" s="391">
        <v>24</v>
      </c>
      <c r="K53" s="391">
        <v>76</v>
      </c>
      <c r="L53" s="394"/>
      <c r="M53" s="394"/>
      <c r="N53" s="394"/>
      <c r="O53" s="389">
        <f t="shared" si="2"/>
        <v>4</v>
      </c>
    </row>
    <row r="54" spans="1:15">
      <c r="A54" s="392">
        <f t="shared" si="1"/>
        <v>52</v>
      </c>
      <c r="B54" s="393">
        <v>4</v>
      </c>
      <c r="C54" s="391">
        <v>68.75</v>
      </c>
      <c r="D54" s="394"/>
      <c r="E54" s="394"/>
      <c r="F54" s="394"/>
      <c r="G54" s="394"/>
      <c r="H54" s="394"/>
      <c r="I54" s="394"/>
      <c r="J54" s="394"/>
      <c r="K54" s="394"/>
      <c r="L54" s="391">
        <v>69</v>
      </c>
      <c r="M54" s="391">
        <v>39</v>
      </c>
      <c r="N54" s="391">
        <v>91.5</v>
      </c>
      <c r="O54" s="389">
        <f t="shared" si="2"/>
        <v>4</v>
      </c>
    </row>
    <row r="55" spans="1:15">
      <c r="A55" s="392">
        <f t="shared" si="1"/>
        <v>53</v>
      </c>
      <c r="B55" s="393">
        <v>4</v>
      </c>
      <c r="C55" s="394"/>
      <c r="D55" s="391">
        <v>95</v>
      </c>
      <c r="E55" s="394"/>
      <c r="F55" s="391">
        <v>78</v>
      </c>
      <c r="G55" s="394"/>
      <c r="H55" s="394"/>
      <c r="I55" s="394"/>
      <c r="J55" s="394"/>
      <c r="K55" s="394"/>
      <c r="L55" s="394"/>
      <c r="M55" s="394"/>
      <c r="N55" s="394"/>
      <c r="O55" s="389">
        <f t="shared" si="2"/>
        <v>2</v>
      </c>
    </row>
    <row r="56" spans="1:15">
      <c r="A56" s="392">
        <f t="shared" si="1"/>
        <v>54</v>
      </c>
      <c r="B56" s="393">
        <v>4</v>
      </c>
      <c r="C56" s="394"/>
      <c r="D56" s="394"/>
      <c r="E56" s="394"/>
      <c r="F56" s="394"/>
      <c r="G56" s="394"/>
      <c r="H56" s="391">
        <v>68</v>
      </c>
      <c r="I56" s="391">
        <v>48</v>
      </c>
      <c r="J56" s="391">
        <v>32</v>
      </c>
      <c r="K56" s="391">
        <v>77</v>
      </c>
      <c r="L56" s="394"/>
      <c r="M56" s="394"/>
      <c r="N56" s="394"/>
      <c r="O56" s="389">
        <f t="shared" si="2"/>
        <v>4</v>
      </c>
    </row>
    <row r="57" spans="1:15">
      <c r="A57" s="392">
        <f t="shared" si="1"/>
        <v>55</v>
      </c>
      <c r="B57" s="393">
        <v>4</v>
      </c>
      <c r="C57" s="394"/>
      <c r="D57" s="391">
        <v>80</v>
      </c>
      <c r="E57" s="391">
        <v>83</v>
      </c>
      <c r="F57" s="391">
        <v>68</v>
      </c>
      <c r="G57" s="391">
        <v>74</v>
      </c>
      <c r="H57" s="394"/>
      <c r="I57" s="394"/>
      <c r="J57" s="394"/>
      <c r="K57" s="394"/>
      <c r="L57" s="394"/>
      <c r="M57" s="394"/>
      <c r="N57" s="394"/>
      <c r="O57" s="389">
        <f t="shared" si="2"/>
        <v>4</v>
      </c>
    </row>
    <row r="58" spans="1:15">
      <c r="A58" s="392">
        <f t="shared" si="1"/>
        <v>56</v>
      </c>
      <c r="B58" s="393">
        <v>4</v>
      </c>
      <c r="C58" s="394"/>
      <c r="D58" s="394"/>
      <c r="E58" s="394"/>
      <c r="F58" s="394"/>
      <c r="G58" s="394"/>
      <c r="H58" s="394"/>
      <c r="I58" s="394"/>
      <c r="J58" s="391">
        <v>80</v>
      </c>
      <c r="K58" s="391">
        <v>88</v>
      </c>
      <c r="L58" s="391">
        <v>86</v>
      </c>
      <c r="M58" s="391">
        <v>81</v>
      </c>
      <c r="N58" s="394"/>
      <c r="O58" s="389">
        <f t="shared" si="2"/>
        <v>4</v>
      </c>
    </row>
    <row r="59" spans="1:15">
      <c r="A59" s="392">
        <f t="shared" si="1"/>
        <v>57</v>
      </c>
      <c r="B59" s="393"/>
      <c r="C59" s="394"/>
      <c r="D59" s="394"/>
      <c r="E59" s="394"/>
      <c r="F59" s="394"/>
      <c r="G59" s="394"/>
      <c r="H59" s="394"/>
      <c r="I59" s="394"/>
      <c r="J59" s="391"/>
      <c r="K59" s="391"/>
      <c r="L59" s="391"/>
      <c r="M59" s="391">
        <v>76</v>
      </c>
      <c r="N59" s="391">
        <v>85</v>
      </c>
      <c r="O59" s="389">
        <f t="shared" si="2"/>
        <v>2</v>
      </c>
    </row>
    <row r="60" spans="1:15">
      <c r="A60" s="392">
        <f t="shared" si="1"/>
        <v>58</v>
      </c>
      <c r="B60" s="393"/>
      <c r="C60" s="394"/>
      <c r="D60" s="394"/>
      <c r="E60" s="394"/>
      <c r="F60" s="391">
        <v>78</v>
      </c>
      <c r="G60" s="391">
        <v>86</v>
      </c>
      <c r="H60" s="391">
        <v>86</v>
      </c>
      <c r="I60" s="391">
        <v>65</v>
      </c>
      <c r="J60" s="391"/>
      <c r="K60" s="391"/>
      <c r="L60" s="391"/>
      <c r="M60" s="391"/>
      <c r="N60" s="394"/>
      <c r="O60" s="389">
        <f t="shared" si="2"/>
        <v>4</v>
      </c>
    </row>
    <row r="61" spans="1:15">
      <c r="A61" s="392">
        <f t="shared" si="1"/>
        <v>59</v>
      </c>
      <c r="B61" s="393">
        <v>4</v>
      </c>
      <c r="C61" s="394"/>
      <c r="D61" s="394"/>
      <c r="E61" s="394"/>
      <c r="F61" s="394"/>
      <c r="G61" s="394"/>
      <c r="H61" s="391">
        <v>88</v>
      </c>
      <c r="I61" s="391">
        <v>70</v>
      </c>
      <c r="J61" s="391">
        <v>50</v>
      </c>
      <c r="K61" s="391">
        <v>85</v>
      </c>
      <c r="L61" s="394"/>
      <c r="M61" s="394"/>
      <c r="N61" s="394"/>
      <c r="O61" s="389">
        <f t="shared" ref="O61:O65" si="3">COUNTA(C61:N61)</f>
        <v>4</v>
      </c>
    </row>
    <row r="62" spans="1:15">
      <c r="A62" s="392">
        <f t="shared" si="1"/>
        <v>60</v>
      </c>
      <c r="B62" s="393">
        <v>8</v>
      </c>
      <c r="C62" s="391">
        <v>78</v>
      </c>
      <c r="D62" s="391">
        <v>87</v>
      </c>
      <c r="E62" s="391">
        <v>90</v>
      </c>
      <c r="F62" s="391">
        <v>88</v>
      </c>
      <c r="G62" s="391">
        <v>97</v>
      </c>
      <c r="H62" s="391">
        <v>97</v>
      </c>
      <c r="I62" s="391">
        <v>79</v>
      </c>
      <c r="J62" s="391">
        <v>61</v>
      </c>
      <c r="K62" s="391">
        <v>93</v>
      </c>
      <c r="L62" s="391">
        <v>97</v>
      </c>
      <c r="M62" s="391">
        <v>71</v>
      </c>
      <c r="N62" s="391">
        <v>84</v>
      </c>
      <c r="O62" s="389">
        <f t="shared" si="3"/>
        <v>12</v>
      </c>
    </row>
    <row r="63" spans="1:15">
      <c r="A63" s="392">
        <f t="shared" si="1"/>
        <v>61</v>
      </c>
      <c r="B63" s="393">
        <v>4</v>
      </c>
      <c r="C63" s="394"/>
      <c r="D63" s="394"/>
      <c r="E63" s="394"/>
      <c r="F63" s="394"/>
      <c r="G63" s="394"/>
      <c r="H63" s="391">
        <v>76</v>
      </c>
      <c r="I63" s="391">
        <v>62</v>
      </c>
      <c r="J63" s="391">
        <v>37</v>
      </c>
      <c r="K63" s="391">
        <v>75</v>
      </c>
      <c r="L63" s="394"/>
      <c r="M63" s="394"/>
      <c r="N63" s="394"/>
      <c r="O63" s="389">
        <f t="shared" si="3"/>
        <v>4</v>
      </c>
    </row>
    <row r="64" spans="1:15">
      <c r="A64" s="392">
        <f t="shared" si="1"/>
        <v>62</v>
      </c>
      <c r="B64" s="393"/>
      <c r="C64" s="391">
        <v>68</v>
      </c>
      <c r="D64" s="394"/>
      <c r="E64" s="394"/>
      <c r="F64" s="394"/>
      <c r="G64" s="394"/>
      <c r="H64" s="394"/>
      <c r="I64" s="394"/>
      <c r="J64" s="394"/>
      <c r="K64" s="394"/>
      <c r="L64" s="394"/>
      <c r="M64" s="391">
        <v>54</v>
      </c>
      <c r="N64" s="394"/>
      <c r="O64" s="389">
        <f t="shared" si="3"/>
        <v>2</v>
      </c>
    </row>
    <row r="65" spans="1:18">
      <c r="A65" s="392">
        <f t="shared" si="1"/>
        <v>63</v>
      </c>
      <c r="B65" s="393">
        <v>4</v>
      </c>
      <c r="C65" s="394"/>
      <c r="D65" s="391">
        <v>84</v>
      </c>
      <c r="E65" s="391">
        <v>89</v>
      </c>
      <c r="F65" s="391">
        <v>84</v>
      </c>
      <c r="G65" s="391">
        <v>85</v>
      </c>
      <c r="H65" s="394"/>
      <c r="I65" s="394"/>
      <c r="J65" s="394"/>
      <c r="K65" s="394"/>
      <c r="L65" s="394"/>
      <c r="M65" s="394"/>
      <c r="N65" s="394"/>
      <c r="O65" s="389">
        <f t="shared" si="3"/>
        <v>4</v>
      </c>
    </row>
    <row r="67" spans="1:18">
      <c r="A67" s="351" t="s">
        <v>79</v>
      </c>
      <c r="C67" s="395">
        <f t="shared" ref="C67:N67" si="4">AVERAGE(C3:C66)</f>
        <v>66.618421052631575</v>
      </c>
      <c r="D67" s="395">
        <f t="shared" si="4"/>
        <v>84.28</v>
      </c>
      <c r="E67" s="395">
        <f t="shared" si="4"/>
        <v>84.795454545454547</v>
      </c>
      <c r="F67" s="395">
        <f t="shared" si="4"/>
        <v>71.192307692307693</v>
      </c>
      <c r="G67" s="395">
        <f t="shared" si="4"/>
        <v>80.895833333333329</v>
      </c>
      <c r="H67" s="395">
        <f t="shared" si="4"/>
        <v>82.326086956521735</v>
      </c>
      <c r="I67" s="395">
        <f t="shared" si="4"/>
        <v>66.673913043478265</v>
      </c>
      <c r="J67" s="395">
        <f t="shared" si="4"/>
        <v>47.565217391304351</v>
      </c>
      <c r="K67" s="395">
        <f t="shared" si="4"/>
        <v>74.05263157894737</v>
      </c>
      <c r="L67" s="395">
        <f t="shared" si="4"/>
        <v>83.05</v>
      </c>
      <c r="M67" s="395">
        <f t="shared" si="4"/>
        <v>57.136363636363633</v>
      </c>
      <c r="N67" s="395">
        <f t="shared" si="4"/>
        <v>77.973684210526315</v>
      </c>
    </row>
    <row r="68" spans="1:18">
      <c r="A68" s="351" t="s">
        <v>56</v>
      </c>
      <c r="C68" s="395">
        <f>IF(C67&lt;5, 5,C67)</f>
        <v>66.618421052631575</v>
      </c>
      <c r="D68" s="395">
        <f t="shared" ref="D68:N68" si="5">IF(D67&lt;5, 5,D67)</f>
        <v>84.28</v>
      </c>
      <c r="E68" s="395">
        <f t="shared" si="5"/>
        <v>84.795454545454547</v>
      </c>
      <c r="F68" s="395">
        <f t="shared" si="5"/>
        <v>71.192307692307693</v>
      </c>
      <c r="G68" s="395">
        <f t="shared" si="5"/>
        <v>80.895833333333329</v>
      </c>
      <c r="H68" s="395">
        <f t="shared" si="5"/>
        <v>82.326086956521735</v>
      </c>
      <c r="I68" s="395">
        <f t="shared" si="5"/>
        <v>66.673913043478265</v>
      </c>
      <c r="J68" s="395">
        <f t="shared" si="5"/>
        <v>47.565217391304351</v>
      </c>
      <c r="K68" s="395">
        <f t="shared" si="5"/>
        <v>74.05263157894737</v>
      </c>
      <c r="L68" s="395">
        <f t="shared" si="5"/>
        <v>83.05</v>
      </c>
      <c r="M68" s="395">
        <f t="shared" si="5"/>
        <v>57.136363636363633</v>
      </c>
      <c r="N68" s="395">
        <f t="shared" si="5"/>
        <v>77.973684210526315</v>
      </c>
    </row>
    <row r="69" spans="1:18">
      <c r="R69" s="350" t="s">
        <v>171</v>
      </c>
    </row>
    <row r="70" spans="1:18">
      <c r="A70" s="351" t="s">
        <v>227</v>
      </c>
      <c r="C70" s="169">
        <f>COUNTA(C3:C65)</f>
        <v>19</v>
      </c>
      <c r="D70" s="169">
        <f t="shared" ref="D70:N70" si="6">COUNTA(D3:D65)</f>
        <v>25</v>
      </c>
      <c r="E70" s="169">
        <f t="shared" si="6"/>
        <v>22</v>
      </c>
      <c r="F70" s="169">
        <f t="shared" si="6"/>
        <v>26</v>
      </c>
      <c r="G70" s="169">
        <f t="shared" si="6"/>
        <v>24</v>
      </c>
      <c r="H70" s="169">
        <f t="shared" si="6"/>
        <v>23</v>
      </c>
      <c r="I70" s="169">
        <f t="shared" si="6"/>
        <v>23</v>
      </c>
      <c r="J70" s="169">
        <f t="shared" si="6"/>
        <v>23</v>
      </c>
      <c r="K70" s="169">
        <f t="shared" si="6"/>
        <v>19</v>
      </c>
      <c r="L70" s="169">
        <f t="shared" si="6"/>
        <v>20</v>
      </c>
      <c r="M70" s="169">
        <f t="shared" si="6"/>
        <v>22</v>
      </c>
      <c r="N70" s="169">
        <f t="shared" si="6"/>
        <v>19</v>
      </c>
      <c r="R70" s="350" t="s">
        <v>172</v>
      </c>
    </row>
  </sheetData>
  <phoneticPr fontId="22" type="noConversion"/>
  <printOptions gridLines="1"/>
  <pageMargins left="0.75" right="0.75" top="1" bottom="1" header="0.5" footer="0.5"/>
  <pageSetup scale="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3"/>
  <sheetViews>
    <sheetView zoomScale="75" workbookViewId="0">
      <selection activeCell="B5" sqref="B5:B16"/>
    </sheetView>
  </sheetViews>
  <sheetFormatPr defaultRowHeight="12.75"/>
  <cols>
    <col min="1" max="1" width="50.85546875" customWidth="1"/>
  </cols>
  <sheetData>
    <row r="1" spans="1:3" ht="18.75">
      <c r="A1" s="7" t="s">
        <v>207</v>
      </c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>
      <c r="A4" s="24"/>
      <c r="B4" s="23" t="s">
        <v>9</v>
      </c>
      <c r="C4" s="20"/>
    </row>
    <row r="5" spans="1:3" ht="15">
      <c r="A5" s="349" t="s">
        <v>173</v>
      </c>
      <c r="B5" s="396">
        <v>50</v>
      </c>
    </row>
    <row r="6" spans="1:3" ht="15">
      <c r="A6" s="349" t="s">
        <v>174</v>
      </c>
      <c r="B6" s="396">
        <v>50</v>
      </c>
    </row>
    <row r="7" spans="1:3" ht="15">
      <c r="A7" s="349" t="s">
        <v>175</v>
      </c>
      <c r="B7" s="396">
        <v>50</v>
      </c>
    </row>
    <row r="8" spans="1:3" s="253" customFormat="1" ht="15">
      <c r="A8" s="355" t="s">
        <v>176</v>
      </c>
      <c r="B8" s="396">
        <v>50</v>
      </c>
    </row>
    <row r="9" spans="1:3" ht="15">
      <c r="A9" s="349" t="s">
        <v>177</v>
      </c>
      <c r="B9" s="396">
        <v>50</v>
      </c>
    </row>
    <row r="10" spans="1:3" ht="15">
      <c r="A10" s="356" t="s">
        <v>178</v>
      </c>
      <c r="B10" s="396">
        <v>50</v>
      </c>
    </row>
    <row r="11" spans="1:3" ht="15">
      <c r="A11" s="355" t="s">
        <v>179</v>
      </c>
      <c r="B11" s="396">
        <v>50</v>
      </c>
    </row>
    <row r="12" spans="1:3" ht="15">
      <c r="A12" s="356" t="s">
        <v>180</v>
      </c>
      <c r="B12" s="396">
        <v>50</v>
      </c>
    </row>
    <row r="13" spans="1:3" ht="15">
      <c r="A13" s="356" t="s">
        <v>181</v>
      </c>
      <c r="B13" s="396">
        <v>50</v>
      </c>
    </row>
    <row r="14" spans="1:3" s="143" customFormat="1" ht="15">
      <c r="A14" s="356" t="s">
        <v>182</v>
      </c>
      <c r="B14" s="396">
        <v>50</v>
      </c>
    </row>
    <row r="15" spans="1:3" ht="15">
      <c r="A15" s="356" t="s">
        <v>183</v>
      </c>
      <c r="B15" s="396">
        <v>50</v>
      </c>
    </row>
    <row r="16" spans="1:3" ht="15">
      <c r="A16" s="356" t="s">
        <v>184</v>
      </c>
      <c r="B16" s="396">
        <v>50</v>
      </c>
    </row>
    <row r="18" spans="1:2">
      <c r="A18" s="22"/>
      <c r="B18" s="350" t="s">
        <v>194</v>
      </c>
    </row>
    <row r="19" spans="1:2">
      <c r="A19" s="22"/>
    </row>
    <row r="20" spans="1:2">
      <c r="A20" s="22"/>
    </row>
    <row r="21" spans="1:2">
      <c r="A21" s="22"/>
    </row>
    <row r="22" spans="1:2">
      <c r="A22" s="22"/>
    </row>
    <row r="23" spans="1:2">
      <c r="A23" s="22"/>
    </row>
  </sheetData>
  <phoneticPr fontId="22" type="noConversion"/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workbookViewId="0">
      <selection activeCell="C10" sqref="C10"/>
    </sheetView>
  </sheetViews>
  <sheetFormatPr defaultRowHeight="12.75"/>
  <cols>
    <col min="1" max="1" width="26.42578125" customWidth="1"/>
    <col min="2" max="2" width="11.42578125" bestFit="1" customWidth="1"/>
    <col min="3" max="3" width="12.42578125" customWidth="1"/>
    <col min="4" max="4" width="9.140625" hidden="1" customWidth="1"/>
    <col min="5" max="5" width="9.140625" style="218"/>
    <col min="7" max="7" width="16.42578125" hidden="1" customWidth="1"/>
    <col min="8" max="8" width="11.5703125" customWidth="1"/>
    <col min="9" max="9" width="13.42578125" customWidth="1"/>
    <col min="10" max="10" width="13.140625" customWidth="1"/>
  </cols>
  <sheetData>
    <row r="1" spans="1:13" ht="18.75">
      <c r="A1" s="7" t="s">
        <v>208</v>
      </c>
      <c r="B1" s="6"/>
      <c r="C1" s="6"/>
      <c r="D1" s="6"/>
    </row>
    <row r="2" spans="1:13" s="67" customFormat="1">
      <c r="A2" s="38"/>
      <c r="B2" s="38"/>
      <c r="C2" s="38"/>
      <c r="D2" s="38"/>
      <c r="E2" s="218"/>
    </row>
    <row r="3" spans="1:13" s="67" customFormat="1">
      <c r="A3" s="38"/>
      <c r="B3" s="68"/>
      <c r="C3" s="82"/>
      <c r="D3" s="38"/>
      <c r="E3" s="218"/>
    </row>
    <row r="4" spans="1:13" s="67" customFormat="1">
      <c r="A4" s="38"/>
      <c r="B4" s="68"/>
      <c r="C4" s="82"/>
      <c r="D4" s="38"/>
      <c r="E4" s="218"/>
    </row>
    <row r="5" spans="1:13" s="67" customFormat="1" ht="18">
      <c r="A5" s="24"/>
      <c r="B5" s="24"/>
      <c r="C5" s="24"/>
      <c r="D5" s="38"/>
      <c r="E5" s="218"/>
      <c r="H5" s="358"/>
    </row>
    <row r="6" spans="1:13" ht="51">
      <c r="A6" s="133" t="s">
        <v>132</v>
      </c>
      <c r="B6" s="133"/>
      <c r="C6" s="133" t="s">
        <v>72</v>
      </c>
      <c r="D6" s="133"/>
      <c r="E6" s="295" t="s">
        <v>188</v>
      </c>
      <c r="F6" s="295"/>
      <c r="G6" s="295"/>
      <c r="H6" s="295" t="s">
        <v>129</v>
      </c>
      <c r="I6" s="295" t="s">
        <v>130</v>
      </c>
      <c r="J6" s="295" t="s">
        <v>131</v>
      </c>
      <c r="K6" s="295"/>
      <c r="L6" s="295" t="s">
        <v>191</v>
      </c>
      <c r="M6" s="295" t="s">
        <v>28</v>
      </c>
    </row>
    <row r="7" spans="1:13">
      <c r="A7" s="349" t="s">
        <v>173</v>
      </c>
      <c r="C7" s="402">
        <v>10496.76</v>
      </c>
      <c r="D7" s="289"/>
      <c r="E7" s="367">
        <f t="shared" ref="E7:E17" si="0">-($B$23*C7)+$B$24</f>
        <v>20</v>
      </c>
      <c r="F7" s="54"/>
      <c r="H7" s="351">
        <v>8</v>
      </c>
      <c r="I7" s="351">
        <v>5</v>
      </c>
      <c r="J7" s="279">
        <v>3</v>
      </c>
      <c r="K7" s="54"/>
      <c r="L7" s="281">
        <f>IF(SUM(E7:J7)&lt;2.5,2.5,SUM(E7:J7))</f>
        <v>36</v>
      </c>
      <c r="M7" s="279">
        <f t="shared" ref="M7:M18" si="1">RANK(L7,$L$7:$L$18)</f>
        <v>3</v>
      </c>
    </row>
    <row r="8" spans="1:13" ht="25.5">
      <c r="A8" s="349" t="s">
        <v>174</v>
      </c>
      <c r="C8" s="402">
        <v>12773.92</v>
      </c>
      <c r="D8" s="290"/>
      <c r="E8" s="367">
        <f t="shared" si="0"/>
        <v>12.686184862397845</v>
      </c>
      <c r="F8" s="54"/>
      <c r="H8" s="351">
        <v>8</v>
      </c>
      <c r="I8" s="351">
        <v>9</v>
      </c>
      <c r="J8" s="279">
        <v>8</v>
      </c>
      <c r="K8" s="54"/>
      <c r="L8" s="281">
        <f t="shared" ref="L8:L18" si="2">IF(SUM(E8:J8)&lt;2.5,2.5,SUM(E8:J8))</f>
        <v>37.686184862397845</v>
      </c>
      <c r="M8" s="279">
        <f t="shared" si="1"/>
        <v>1</v>
      </c>
    </row>
    <row r="9" spans="1:13">
      <c r="A9" s="349" t="s">
        <v>175</v>
      </c>
      <c r="C9" s="402">
        <v>14632</v>
      </c>
      <c r="D9" s="291"/>
      <c r="E9" s="367">
        <f t="shared" si="0"/>
        <v>6.7183768775062234</v>
      </c>
      <c r="F9" s="54"/>
      <c r="H9" s="351">
        <v>9</v>
      </c>
      <c r="I9" s="351">
        <v>7</v>
      </c>
      <c r="J9" s="279">
        <v>6</v>
      </c>
      <c r="K9" s="54"/>
      <c r="L9" s="281">
        <f t="shared" si="2"/>
        <v>28.718376877506223</v>
      </c>
      <c r="M9" s="279">
        <f t="shared" si="1"/>
        <v>6</v>
      </c>
    </row>
    <row r="10" spans="1:13" s="277" customFormat="1">
      <c r="A10" s="355" t="s">
        <v>176</v>
      </c>
      <c r="B10"/>
      <c r="C10" s="403">
        <v>16723.77</v>
      </c>
      <c r="D10" s="292"/>
      <c r="E10" s="367">
        <f t="shared" si="0"/>
        <v>0</v>
      </c>
      <c r="F10" s="54"/>
      <c r="G10"/>
      <c r="H10" s="351">
        <v>6</v>
      </c>
      <c r="I10" s="351">
        <v>8</v>
      </c>
      <c r="J10" s="404">
        <v>8</v>
      </c>
      <c r="K10" s="54"/>
      <c r="L10" s="281">
        <f t="shared" si="2"/>
        <v>22</v>
      </c>
      <c r="M10" s="279">
        <f t="shared" si="1"/>
        <v>9</v>
      </c>
    </row>
    <row r="11" spans="1:13" s="277" customFormat="1" ht="25.5">
      <c r="A11" s="349" t="s">
        <v>177</v>
      </c>
      <c r="B11"/>
      <c r="C11" s="402">
        <v>13875.71</v>
      </c>
      <c r="D11" s="291"/>
      <c r="E11" s="367">
        <f t="shared" si="0"/>
        <v>9.1474399430866526</v>
      </c>
      <c r="F11" s="54"/>
      <c r="G11"/>
      <c r="H11" s="351">
        <v>10</v>
      </c>
      <c r="I11" s="351">
        <v>9</v>
      </c>
      <c r="J11" s="279">
        <v>8</v>
      </c>
      <c r="K11" s="54"/>
      <c r="L11" s="281">
        <f t="shared" si="2"/>
        <v>36.147439943086653</v>
      </c>
      <c r="M11" s="279">
        <f t="shared" si="1"/>
        <v>2</v>
      </c>
    </row>
    <row r="12" spans="1:13" s="277" customFormat="1" ht="15">
      <c r="A12" s="356" t="s">
        <v>178</v>
      </c>
      <c r="B12"/>
      <c r="C12" s="402">
        <v>12576.95</v>
      </c>
      <c r="D12" s="291"/>
      <c r="E12" s="367">
        <f t="shared" si="0"/>
        <v>13.318815932526206</v>
      </c>
      <c r="F12" s="54"/>
      <c r="G12"/>
      <c r="H12" s="351">
        <v>9</v>
      </c>
      <c r="I12" s="351">
        <v>7</v>
      </c>
      <c r="J12" s="279">
        <v>6</v>
      </c>
      <c r="K12" s="54"/>
      <c r="L12" s="281">
        <f t="shared" si="2"/>
        <v>35.318815932526206</v>
      </c>
      <c r="M12" s="279">
        <f t="shared" si="1"/>
        <v>4</v>
      </c>
    </row>
    <row r="13" spans="1:13" ht="25.5">
      <c r="A13" s="355" t="s">
        <v>179</v>
      </c>
      <c r="C13" s="402">
        <v>12944</v>
      </c>
      <c r="D13" s="289"/>
      <c r="E13" s="367">
        <f t="shared" si="0"/>
        <v>12.139919479814552</v>
      </c>
      <c r="F13" s="54"/>
      <c r="H13" s="351">
        <v>6</v>
      </c>
      <c r="I13" s="351">
        <v>3</v>
      </c>
      <c r="J13" s="279">
        <v>0</v>
      </c>
      <c r="K13" s="54"/>
      <c r="L13" s="281">
        <f t="shared" si="2"/>
        <v>21.139919479814552</v>
      </c>
      <c r="M13" s="279">
        <f t="shared" si="1"/>
        <v>10</v>
      </c>
    </row>
    <row r="14" spans="1:13" ht="15">
      <c r="A14" s="356" t="s">
        <v>180</v>
      </c>
      <c r="C14" s="402">
        <v>13382.84</v>
      </c>
      <c r="D14" s="289"/>
      <c r="E14" s="367">
        <f t="shared" si="0"/>
        <v>10.730446875787898</v>
      </c>
      <c r="F14" s="54"/>
      <c r="H14" s="351">
        <v>5</v>
      </c>
      <c r="I14" s="351">
        <v>5</v>
      </c>
      <c r="J14" s="279">
        <v>5</v>
      </c>
      <c r="K14" s="54"/>
      <c r="L14" s="281">
        <f t="shared" si="2"/>
        <v>25.730446875787898</v>
      </c>
      <c r="M14" s="279">
        <f t="shared" si="1"/>
        <v>8</v>
      </c>
    </row>
    <row r="15" spans="1:13" ht="15">
      <c r="A15" s="356" t="s">
        <v>181</v>
      </c>
      <c r="C15" s="402">
        <v>11450.39</v>
      </c>
      <c r="D15" s="289"/>
      <c r="E15" s="367">
        <f t="shared" si="0"/>
        <v>16.937117492986204</v>
      </c>
      <c r="F15" s="54"/>
      <c r="H15" s="351">
        <v>8</v>
      </c>
      <c r="I15" s="351">
        <v>5</v>
      </c>
      <c r="J15" s="279">
        <v>5</v>
      </c>
      <c r="K15" s="54"/>
      <c r="L15" s="281">
        <f t="shared" si="2"/>
        <v>34.937117492986204</v>
      </c>
      <c r="M15" s="279">
        <f t="shared" si="1"/>
        <v>5</v>
      </c>
    </row>
    <row r="16" spans="1:13" ht="15">
      <c r="A16" s="356" t="s">
        <v>182</v>
      </c>
      <c r="C16" s="402">
        <v>12576.7</v>
      </c>
      <c r="D16" s="293"/>
      <c r="E16" s="367">
        <f t="shared" si="0"/>
        <v>13.319618886110668</v>
      </c>
      <c r="F16" s="54"/>
      <c r="H16" s="351">
        <v>7</v>
      </c>
      <c r="I16" s="351">
        <v>6</v>
      </c>
      <c r="J16" s="279">
        <v>0</v>
      </c>
      <c r="K16" s="54"/>
      <c r="L16" s="281">
        <f t="shared" si="2"/>
        <v>26.319618886110668</v>
      </c>
      <c r="M16" s="279">
        <f t="shared" si="1"/>
        <v>7</v>
      </c>
    </row>
    <row r="17" spans="1:13" ht="15">
      <c r="A17" s="356" t="s">
        <v>183</v>
      </c>
      <c r="C17" s="402">
        <v>14356.6</v>
      </c>
      <c r="D17" s="294"/>
      <c r="E17" s="367">
        <f t="shared" si="0"/>
        <v>7.6029105461529696</v>
      </c>
      <c r="F17" s="54"/>
      <c r="H17" s="351">
        <v>7</v>
      </c>
      <c r="I17" s="351">
        <v>3</v>
      </c>
      <c r="J17" s="279">
        <v>0</v>
      </c>
      <c r="K17" s="54"/>
      <c r="L17" s="281">
        <f t="shared" si="2"/>
        <v>17.60291054615297</v>
      </c>
      <c r="M17" s="279">
        <f t="shared" si="1"/>
        <v>11</v>
      </c>
    </row>
    <row r="18" spans="1:13" s="143" customFormat="1" ht="15">
      <c r="A18" s="356" t="s">
        <v>184</v>
      </c>
      <c r="B18"/>
      <c r="C18" s="402">
        <v>15280</v>
      </c>
      <c r="D18" s="291"/>
      <c r="E18" s="367">
        <f>-($B$23*C18)+$B$24</f>
        <v>4.637121186572692</v>
      </c>
      <c r="F18" s="54"/>
      <c r="G18"/>
      <c r="H18" s="351">
        <v>5</v>
      </c>
      <c r="I18" s="351">
        <v>5</v>
      </c>
      <c r="J18" s="279">
        <v>0</v>
      </c>
      <c r="K18" s="54"/>
      <c r="L18" s="281">
        <f t="shared" si="2"/>
        <v>14.637121186572692</v>
      </c>
      <c r="M18" s="279">
        <f t="shared" si="1"/>
        <v>12</v>
      </c>
    </row>
    <row r="19" spans="1:13" ht="15">
      <c r="A19" s="319"/>
      <c r="B19" s="58"/>
      <c r="C19" s="200"/>
      <c r="D19" s="6"/>
      <c r="M19" s="359"/>
    </row>
    <row r="20" spans="1:13" ht="15">
      <c r="A20" s="368" t="s">
        <v>144</v>
      </c>
      <c r="B20" s="58"/>
      <c r="C20" s="200"/>
      <c r="D20" s="6"/>
      <c r="L20" s="350" t="s">
        <v>193</v>
      </c>
    </row>
    <row r="21" spans="1:13">
      <c r="A21" s="132" t="s">
        <v>145</v>
      </c>
      <c r="B21" s="40"/>
      <c r="C21" s="52"/>
      <c r="D21" s="6"/>
    </row>
    <row r="22" spans="1:13">
      <c r="A22" s="132" t="s">
        <v>146</v>
      </c>
      <c r="B22" s="40"/>
      <c r="C22" s="52"/>
      <c r="D22" s="6"/>
    </row>
    <row r="23" spans="1:13">
      <c r="A23" s="132" t="s">
        <v>147</v>
      </c>
      <c r="B23" s="331">
        <f>20/(B26-B25)</f>
        <v>3.2118143378603854E-3</v>
      </c>
      <c r="C23" s="52"/>
      <c r="D23" s="6"/>
    </row>
    <row r="24" spans="1:13">
      <c r="A24" s="132" t="s">
        <v>148</v>
      </c>
      <c r="B24" s="40">
        <f>20+(B23*B25)</f>
        <v>53.713644269079381</v>
      </c>
      <c r="C24" s="52"/>
      <c r="D24" s="6"/>
    </row>
    <row r="25" spans="1:13">
      <c r="A25" s="132" t="s">
        <v>85</v>
      </c>
      <c r="B25" s="329">
        <f>MIN(C7:C18)</f>
        <v>10496.76</v>
      </c>
      <c r="C25" s="52"/>
      <c r="D25" s="6"/>
    </row>
    <row r="26" spans="1:13">
      <c r="A26" s="49" t="s">
        <v>149</v>
      </c>
      <c r="B26" s="330">
        <f>MAX(C7:C18)</f>
        <v>16723.77</v>
      </c>
      <c r="C26" s="52"/>
      <c r="D26" s="6"/>
    </row>
    <row r="27" spans="1:13">
      <c r="A27" s="49" t="s">
        <v>150</v>
      </c>
      <c r="B27" s="328">
        <v>20</v>
      </c>
      <c r="C27" s="52"/>
      <c r="D27" s="6"/>
    </row>
    <row r="28" spans="1:13">
      <c r="A28" s="49"/>
      <c r="B28" s="40"/>
      <c r="C28" s="52"/>
      <c r="D28" s="6"/>
    </row>
    <row r="29" spans="1:13">
      <c r="A29" s="366" t="s">
        <v>190</v>
      </c>
      <c r="B29" s="40"/>
      <c r="C29" s="52"/>
      <c r="D29" s="6"/>
      <c r="H29" s="350" t="s">
        <v>189</v>
      </c>
    </row>
    <row r="30" spans="1:13">
      <c r="A30" s="50"/>
      <c r="B30" s="40"/>
      <c r="C30" s="52"/>
    </row>
    <row r="31" spans="1:13">
      <c r="A31" s="1"/>
      <c r="B31" s="24"/>
      <c r="C31" s="1"/>
    </row>
    <row r="32" spans="1:13">
      <c r="A32" s="1"/>
      <c r="B32" s="1"/>
      <c r="C32" s="1"/>
    </row>
    <row r="33" spans="1:3">
      <c r="A33" s="1"/>
      <c r="B33" s="1"/>
      <c r="C33" s="1"/>
    </row>
  </sheetData>
  <phoneticPr fontId="22" type="noConversion"/>
  <printOptions gridLines="1"/>
  <pageMargins left="0.75" right="0.75" top="1" bottom="1" header="0.5" footer="0.5"/>
  <pageSetup scale="77"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6"/>
  <sheetViews>
    <sheetView workbookViewId="0">
      <selection activeCell="O2" sqref="O2:Q15"/>
    </sheetView>
  </sheetViews>
  <sheetFormatPr defaultRowHeight="12.75"/>
  <cols>
    <col min="1" max="1" width="42" customWidth="1"/>
    <col min="2" max="11" width="7.7109375" style="3" customWidth="1"/>
    <col min="12" max="12" width="10" style="3" bestFit="1" customWidth="1"/>
    <col min="13" max="13" width="7.42578125" style="3" customWidth="1"/>
    <col min="14" max="14" width="8.85546875" style="3" customWidth="1"/>
  </cols>
  <sheetData>
    <row r="1" spans="1:17" ht="18.75">
      <c r="A1" s="45" t="s">
        <v>225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31"/>
      <c r="M1" s="32"/>
      <c r="N1" s="31"/>
    </row>
    <row r="2" spans="1:17" ht="20.25">
      <c r="A2" s="267" t="s">
        <v>48</v>
      </c>
      <c r="B2" s="172"/>
      <c r="C2" s="363"/>
      <c r="D2" s="363"/>
      <c r="E2" s="363"/>
      <c r="F2" s="363"/>
      <c r="G2" s="365"/>
      <c r="H2" s="172"/>
      <c r="I2" s="364"/>
      <c r="J2" s="172"/>
      <c r="K2" s="172"/>
      <c r="L2" s="43"/>
      <c r="M2" s="183"/>
      <c r="N2" s="43"/>
      <c r="O2" s="350"/>
    </row>
    <row r="3" spans="1:17" s="3" customFormat="1">
      <c r="A3" s="170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44" t="s">
        <v>79</v>
      </c>
      <c r="M3" s="44" t="s">
        <v>56</v>
      </c>
      <c r="N3" s="46" t="s">
        <v>28</v>
      </c>
      <c r="O3" s="430"/>
      <c r="P3" s="430"/>
      <c r="Q3" s="431"/>
    </row>
    <row r="4" spans="1:17" ht="15">
      <c r="A4" s="349" t="s">
        <v>173</v>
      </c>
      <c r="B4" s="296">
        <v>41</v>
      </c>
      <c r="C4" s="296">
        <v>35</v>
      </c>
      <c r="D4" s="296">
        <v>37.5</v>
      </c>
      <c r="E4" s="296">
        <v>38</v>
      </c>
      <c r="F4" s="296">
        <v>47</v>
      </c>
      <c r="G4" s="296">
        <v>41</v>
      </c>
      <c r="H4" s="296">
        <v>36</v>
      </c>
      <c r="I4" s="296">
        <v>42.5</v>
      </c>
      <c r="J4" s="296">
        <v>39</v>
      </c>
      <c r="K4" s="296">
        <v>40</v>
      </c>
      <c r="L4" s="429">
        <f>AVERAGE(B4:I4)</f>
        <v>39.75</v>
      </c>
      <c r="M4" s="362">
        <f>IF(L4&lt;2.5,2.5,L4)</f>
        <v>39.75</v>
      </c>
      <c r="N4" s="47">
        <f t="shared" ref="N4:N13" si="0">RANK(M4,$M$4:$M$15)</f>
        <v>3</v>
      </c>
      <c r="O4" s="432"/>
      <c r="P4" s="432"/>
      <c r="Q4" s="433"/>
    </row>
    <row r="5" spans="1:17" ht="15">
      <c r="A5" s="349" t="s">
        <v>174</v>
      </c>
      <c r="B5" s="296">
        <v>31.5</v>
      </c>
      <c r="C5" s="296">
        <v>31</v>
      </c>
      <c r="D5" s="296">
        <v>34</v>
      </c>
      <c r="E5" s="296">
        <v>45</v>
      </c>
      <c r="F5" s="296">
        <v>45</v>
      </c>
      <c r="G5" s="296">
        <v>33.5</v>
      </c>
      <c r="H5" s="296"/>
      <c r="I5" s="296"/>
      <c r="J5" s="296"/>
      <c r="K5" s="296"/>
      <c r="L5" s="429">
        <f t="shared" ref="L5:L13" si="1">AVERAGE(B5:I5)</f>
        <v>36.666666666666664</v>
      </c>
      <c r="M5" s="362">
        <f t="shared" ref="M5:M13" si="2">IF(L5&lt;2.5,2.5,L5)</f>
        <v>36.666666666666664</v>
      </c>
      <c r="N5" s="47">
        <f t="shared" si="0"/>
        <v>7</v>
      </c>
      <c r="O5" s="432"/>
      <c r="P5" s="432"/>
      <c r="Q5" s="433"/>
    </row>
    <row r="6" spans="1:17" ht="15">
      <c r="A6" s="349" t="s">
        <v>175</v>
      </c>
      <c r="B6" s="296">
        <v>47</v>
      </c>
      <c r="C6" s="296">
        <v>39.5</v>
      </c>
      <c r="D6" s="296">
        <v>48</v>
      </c>
      <c r="E6" s="296">
        <v>39</v>
      </c>
      <c r="F6" s="296">
        <v>42</v>
      </c>
      <c r="G6" s="296">
        <v>46</v>
      </c>
      <c r="H6" s="296">
        <v>40</v>
      </c>
      <c r="I6" s="296">
        <v>43.5</v>
      </c>
      <c r="J6" s="296"/>
      <c r="K6" s="296"/>
      <c r="L6" s="429">
        <f t="shared" si="1"/>
        <v>43.125</v>
      </c>
      <c r="M6" s="362">
        <f t="shared" si="2"/>
        <v>43.125</v>
      </c>
      <c r="N6" s="47">
        <f t="shared" si="0"/>
        <v>2</v>
      </c>
      <c r="O6" s="432"/>
      <c r="P6" s="432"/>
      <c r="Q6" s="433"/>
    </row>
    <row r="7" spans="1:17" s="218" customFormat="1" ht="15">
      <c r="A7" s="355" t="s">
        <v>176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429"/>
      <c r="M7" s="362"/>
      <c r="N7" s="47"/>
      <c r="O7" s="432"/>
      <c r="P7" s="432"/>
      <c r="Q7" s="433"/>
    </row>
    <row r="8" spans="1:17" ht="15">
      <c r="A8" s="349" t="s">
        <v>177</v>
      </c>
      <c r="B8" s="296">
        <v>36</v>
      </c>
      <c r="C8" s="296">
        <v>47</v>
      </c>
      <c r="D8" s="296">
        <v>47.5</v>
      </c>
      <c r="E8" s="296">
        <v>33.5</v>
      </c>
      <c r="F8" s="296">
        <v>36</v>
      </c>
      <c r="G8" s="296">
        <v>39</v>
      </c>
      <c r="H8" s="296">
        <v>42</v>
      </c>
      <c r="I8" s="296">
        <v>24</v>
      </c>
      <c r="J8" s="296"/>
      <c r="K8" s="296"/>
      <c r="L8" s="429">
        <f t="shared" si="1"/>
        <v>38.125</v>
      </c>
      <c r="M8" s="362">
        <f t="shared" si="2"/>
        <v>38.125</v>
      </c>
      <c r="N8" s="47">
        <f t="shared" si="0"/>
        <v>5</v>
      </c>
      <c r="O8" s="432"/>
      <c r="P8" s="432"/>
      <c r="Q8" s="433"/>
    </row>
    <row r="9" spans="1:17" ht="15">
      <c r="A9" s="356" t="s">
        <v>178</v>
      </c>
      <c r="B9" s="296">
        <v>29</v>
      </c>
      <c r="C9" s="296">
        <v>40.5</v>
      </c>
      <c r="D9" s="296">
        <v>20</v>
      </c>
      <c r="E9" s="296">
        <v>40</v>
      </c>
      <c r="F9" s="296">
        <v>34</v>
      </c>
      <c r="G9" s="296">
        <v>37.5</v>
      </c>
      <c r="H9" s="296">
        <v>39</v>
      </c>
      <c r="I9" s="296">
        <v>43</v>
      </c>
      <c r="J9" s="296">
        <v>29</v>
      </c>
      <c r="K9" s="296">
        <v>32</v>
      </c>
      <c r="L9" s="429">
        <f t="shared" si="1"/>
        <v>35.375</v>
      </c>
      <c r="M9" s="362">
        <f t="shared" si="2"/>
        <v>35.375</v>
      </c>
      <c r="N9" s="47">
        <f t="shared" si="0"/>
        <v>8</v>
      </c>
      <c r="O9" s="432"/>
      <c r="P9" s="432"/>
      <c r="Q9" s="433"/>
    </row>
    <row r="10" spans="1:17" ht="15">
      <c r="A10" s="355" t="s">
        <v>179</v>
      </c>
      <c r="B10" s="296">
        <v>49.5</v>
      </c>
      <c r="C10" s="296">
        <v>41</v>
      </c>
      <c r="D10" s="296">
        <v>46</v>
      </c>
      <c r="E10" s="296">
        <v>47</v>
      </c>
      <c r="F10" s="296">
        <v>33</v>
      </c>
      <c r="G10" s="296">
        <v>47</v>
      </c>
      <c r="H10" s="296">
        <v>44.5</v>
      </c>
      <c r="I10" s="296"/>
      <c r="J10" s="296"/>
      <c r="K10" s="296"/>
      <c r="L10" s="429">
        <f t="shared" si="1"/>
        <v>44</v>
      </c>
      <c r="M10" s="362">
        <f t="shared" si="2"/>
        <v>44</v>
      </c>
      <c r="N10" s="47">
        <f t="shared" si="0"/>
        <v>1</v>
      </c>
      <c r="O10" s="432"/>
      <c r="P10" s="432"/>
      <c r="Q10" s="433"/>
    </row>
    <row r="11" spans="1:17" ht="15">
      <c r="A11" s="356" t="s">
        <v>180</v>
      </c>
      <c r="B11" s="296">
        <v>37</v>
      </c>
      <c r="C11" s="296">
        <v>35.5</v>
      </c>
      <c r="D11" s="296">
        <v>31</v>
      </c>
      <c r="E11" s="296">
        <v>40.5</v>
      </c>
      <c r="F11" s="296">
        <v>38</v>
      </c>
      <c r="G11" s="296">
        <v>43</v>
      </c>
      <c r="H11" s="296">
        <v>35</v>
      </c>
      <c r="I11" s="296">
        <v>37</v>
      </c>
      <c r="J11" s="296"/>
      <c r="K11" s="296"/>
      <c r="L11" s="429">
        <f t="shared" si="1"/>
        <v>37.125</v>
      </c>
      <c r="M11" s="362">
        <f t="shared" si="2"/>
        <v>37.125</v>
      </c>
      <c r="N11" s="47">
        <f t="shared" si="0"/>
        <v>6</v>
      </c>
      <c r="O11" s="432"/>
      <c r="P11" s="432"/>
      <c r="Q11" s="433"/>
    </row>
    <row r="12" spans="1:17" ht="15">
      <c r="A12" s="356" t="s">
        <v>181</v>
      </c>
      <c r="B12" s="296">
        <v>35.5</v>
      </c>
      <c r="C12" s="296">
        <v>36</v>
      </c>
      <c r="D12" s="296">
        <v>35</v>
      </c>
      <c r="E12" s="296">
        <v>38.5</v>
      </c>
      <c r="F12" s="296">
        <v>43</v>
      </c>
      <c r="G12" s="296">
        <v>41</v>
      </c>
      <c r="H12" s="296">
        <v>34.5</v>
      </c>
      <c r="I12" s="296">
        <v>44</v>
      </c>
      <c r="J12" s="296">
        <v>44.5</v>
      </c>
      <c r="K12" s="296"/>
      <c r="L12" s="429">
        <f t="shared" si="1"/>
        <v>38.4375</v>
      </c>
      <c r="M12" s="362">
        <f t="shared" si="2"/>
        <v>38.4375</v>
      </c>
      <c r="N12" s="47">
        <f t="shared" si="0"/>
        <v>4</v>
      </c>
      <c r="O12" s="432"/>
      <c r="P12" s="432"/>
      <c r="Q12" s="433"/>
    </row>
    <row r="13" spans="1:17" ht="15">
      <c r="A13" s="356" t="s">
        <v>182</v>
      </c>
      <c r="B13" s="296">
        <v>38.5</v>
      </c>
      <c r="C13" s="296">
        <v>37</v>
      </c>
      <c r="D13" s="296">
        <v>37</v>
      </c>
      <c r="E13" s="296">
        <v>34.5</v>
      </c>
      <c r="F13" s="296">
        <v>34</v>
      </c>
      <c r="G13" s="296">
        <v>28</v>
      </c>
      <c r="H13" s="296">
        <v>30</v>
      </c>
      <c r="I13" s="296">
        <v>37</v>
      </c>
      <c r="J13" s="296"/>
      <c r="K13" s="296"/>
      <c r="L13" s="429">
        <f t="shared" si="1"/>
        <v>34.5</v>
      </c>
      <c r="M13" s="362">
        <f t="shared" si="2"/>
        <v>34.5</v>
      </c>
      <c r="N13" s="47">
        <f t="shared" si="0"/>
        <v>9</v>
      </c>
      <c r="O13" s="432"/>
      <c r="P13" s="432"/>
      <c r="Q13" s="433"/>
    </row>
    <row r="14" spans="1:17" ht="15">
      <c r="A14" s="356" t="s">
        <v>183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429"/>
      <c r="M14" s="362"/>
      <c r="N14" s="47"/>
    </row>
    <row r="15" spans="1:17" s="143" customFormat="1" ht="15">
      <c r="A15" s="356" t="s">
        <v>184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29"/>
      <c r="M15" s="362"/>
      <c r="N15" s="47"/>
    </row>
    <row r="16" spans="1:17">
      <c r="B16" s="173"/>
      <c r="C16" s="173"/>
      <c r="D16" s="173"/>
      <c r="E16" s="173"/>
      <c r="F16" s="173"/>
      <c r="G16" s="42"/>
      <c r="H16" s="42"/>
      <c r="I16" s="42"/>
      <c r="J16" s="42"/>
      <c r="K16" s="42"/>
      <c r="L16" s="42"/>
      <c r="M16" s="42"/>
      <c r="N16" s="42"/>
    </row>
    <row r="17" spans="2:13">
      <c r="M17" s="350" t="s">
        <v>192</v>
      </c>
    </row>
    <row r="19" spans="2:13">
      <c r="B19" s="169" t="s">
        <v>48</v>
      </c>
    </row>
    <row r="28" spans="2:13">
      <c r="B28" s="174"/>
      <c r="C28" s="174"/>
      <c r="D28" s="174"/>
      <c r="E28" s="174"/>
      <c r="F28" s="174"/>
    </row>
    <row r="36" spans="2:6">
      <c r="B36" s="174"/>
      <c r="C36" s="174"/>
      <c r="D36" s="174"/>
      <c r="E36" s="174"/>
      <c r="F36" s="174"/>
    </row>
  </sheetData>
  <phoneticPr fontId="22" type="noConversion"/>
  <printOptions gridLines="1"/>
  <pageMargins left="0.75" right="0.75" top="1" bottom="1" header="0.5" footer="0.5"/>
  <pageSetup scale="75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workbookViewId="0">
      <selection activeCell="C17" sqref="C17"/>
    </sheetView>
  </sheetViews>
  <sheetFormatPr defaultRowHeight="12.75"/>
  <cols>
    <col min="1" max="1" width="39.7109375" customWidth="1"/>
    <col min="2" max="2" width="10.5703125" customWidth="1"/>
    <col min="3" max="3" width="13.85546875" bestFit="1" customWidth="1"/>
    <col min="4" max="4" width="10.140625" customWidth="1"/>
    <col min="5" max="5" width="12.42578125" customWidth="1"/>
    <col min="7" max="7" width="10.85546875" customWidth="1"/>
    <col min="8" max="8" width="9.140625" style="3"/>
    <col min="9" max="9" width="41.85546875" customWidth="1"/>
  </cols>
  <sheetData>
    <row r="1" spans="1:16" ht="45">
      <c r="A1" s="7" t="s">
        <v>209</v>
      </c>
      <c r="E1" s="199"/>
      <c r="F1" s="199"/>
    </row>
    <row r="2" spans="1:16" ht="18.75">
      <c r="A2" s="7"/>
      <c r="B2" s="7"/>
      <c r="C2" s="7"/>
      <c r="D2" s="6" t="s">
        <v>0</v>
      </c>
      <c r="E2" s="129">
        <f>MAX(C10:C21)</f>
        <v>8.1660000000000004</v>
      </c>
      <c r="F2" s="6" t="s">
        <v>11</v>
      </c>
      <c r="G2" s="63" t="s">
        <v>29</v>
      </c>
      <c r="I2" s="64"/>
    </row>
    <row r="3" spans="1:16">
      <c r="A3" s="6"/>
      <c r="B3" s="6"/>
      <c r="C3" s="6"/>
      <c r="D3" s="6" t="s">
        <v>1</v>
      </c>
      <c r="E3" s="129">
        <f>MIN(C10:C21)</f>
        <v>4.4139999999999997</v>
      </c>
      <c r="F3" s="6" t="s">
        <v>11</v>
      </c>
      <c r="G3" s="63" t="s">
        <v>30</v>
      </c>
      <c r="I3" s="64"/>
    </row>
    <row r="4" spans="1:16">
      <c r="A4" s="10"/>
      <c r="B4" s="10"/>
      <c r="C4" s="10"/>
      <c r="D4" s="6" t="s">
        <v>13</v>
      </c>
      <c r="E4" s="275">
        <v>86.4</v>
      </c>
      <c r="F4" s="6" t="s">
        <v>12</v>
      </c>
      <c r="G4" s="63" t="s">
        <v>31</v>
      </c>
      <c r="I4" s="64"/>
    </row>
    <row r="5" spans="1:16">
      <c r="A5" s="10"/>
      <c r="B5" s="10"/>
      <c r="C5" s="10"/>
      <c r="D5" s="6" t="s">
        <v>151</v>
      </c>
      <c r="E5" s="275"/>
      <c r="F5" s="6"/>
      <c r="G5" s="63"/>
      <c r="I5" s="64"/>
    </row>
    <row r="6" spans="1:16">
      <c r="A6" s="10"/>
      <c r="B6" s="10"/>
      <c r="C6" s="10"/>
      <c r="D6" s="6" t="s">
        <v>152</v>
      </c>
      <c r="E6" s="275">
        <f>100/(E2-E3)</f>
        <v>26.652452025586349</v>
      </c>
      <c r="F6" s="6"/>
      <c r="G6" s="63"/>
      <c r="I6" s="64"/>
    </row>
    <row r="7" spans="1:16">
      <c r="A7" s="10"/>
      <c r="B7" s="10"/>
      <c r="C7" s="10"/>
      <c r="D7" s="6" t="s">
        <v>153</v>
      </c>
      <c r="E7" s="275">
        <f>(E6*E2)</f>
        <v>217.64392324093814</v>
      </c>
      <c r="F7" s="6"/>
      <c r="G7" s="63"/>
      <c r="I7" s="64"/>
    </row>
    <row r="8" spans="1:16">
      <c r="A8" s="12"/>
      <c r="B8" s="12"/>
      <c r="C8" s="12"/>
      <c r="D8" s="12"/>
      <c r="E8" s="6"/>
      <c r="F8" s="6"/>
      <c r="H8" s="18"/>
      <c r="I8" s="65"/>
      <c r="J8" s="65"/>
    </row>
    <row r="9" spans="1:16" ht="38.25">
      <c r="A9" s="11"/>
      <c r="B9" s="39" t="s">
        <v>42</v>
      </c>
      <c r="C9" s="39" t="s">
        <v>54</v>
      </c>
      <c r="D9" s="39" t="s">
        <v>10</v>
      </c>
      <c r="E9" s="36" t="s">
        <v>157</v>
      </c>
      <c r="F9" s="36" t="s">
        <v>28</v>
      </c>
      <c r="G9" s="163" t="s">
        <v>71</v>
      </c>
      <c r="H9" s="2" t="s">
        <v>195</v>
      </c>
      <c r="J9" s="36"/>
      <c r="L9" s="162" t="s">
        <v>48</v>
      </c>
    </row>
    <row r="10" spans="1:16" ht="15">
      <c r="A10" s="349" t="s">
        <v>173</v>
      </c>
      <c r="B10" s="414" t="s">
        <v>237</v>
      </c>
      <c r="C10" s="400">
        <v>4.6980000000000004</v>
      </c>
      <c r="D10" s="271">
        <f t="shared" ref="D10:D15" si="0">$E$4/C10</f>
        <v>18.390804597701148</v>
      </c>
      <c r="E10" s="17">
        <f t="shared" ref="E10:E11" si="1">100-($E$6*C10)+$E$7</f>
        <v>192.43070362473344</v>
      </c>
      <c r="F10" s="351">
        <f t="shared" ref="F10:F11" si="2">RANK($E10,$E$10:$E$21)</f>
        <v>2</v>
      </c>
      <c r="G10" s="401">
        <v>86.4</v>
      </c>
      <c r="H10" s="353"/>
      <c r="I10" s="133"/>
      <c r="J10" s="6"/>
      <c r="L10" s="54" t="s">
        <v>48</v>
      </c>
      <c r="M10" s="67"/>
      <c r="N10" s="67"/>
      <c r="O10" s="67"/>
      <c r="P10" s="67"/>
    </row>
    <row r="11" spans="1:16" ht="15">
      <c r="A11" s="349" t="s">
        <v>174</v>
      </c>
      <c r="B11" s="414" t="s">
        <v>237</v>
      </c>
      <c r="C11" s="400">
        <v>4.8079999999999998</v>
      </c>
      <c r="D11" s="271">
        <f t="shared" si="0"/>
        <v>17.970049916805326</v>
      </c>
      <c r="E11" s="17">
        <f t="shared" si="1"/>
        <v>189.49893390191897</v>
      </c>
      <c r="F11" s="351">
        <f t="shared" si="2"/>
        <v>3</v>
      </c>
      <c r="G11" s="401">
        <v>86.4</v>
      </c>
      <c r="H11" s="353"/>
      <c r="I11" s="133"/>
      <c r="J11" s="6"/>
      <c r="L11" s="54"/>
      <c r="M11" s="67"/>
      <c r="N11" s="67"/>
      <c r="O11" s="67"/>
      <c r="P11" s="67"/>
    </row>
    <row r="12" spans="1:16" ht="15">
      <c r="A12" s="349" t="s">
        <v>175</v>
      </c>
      <c r="B12" s="414" t="s">
        <v>237</v>
      </c>
      <c r="C12" s="400"/>
      <c r="D12" s="271"/>
      <c r="E12" s="17"/>
      <c r="F12" s="351"/>
      <c r="G12" s="401"/>
      <c r="H12" s="353"/>
      <c r="I12" s="133"/>
      <c r="J12" s="6"/>
      <c r="L12" s="54"/>
      <c r="M12" s="67"/>
      <c r="N12" s="67"/>
      <c r="O12" s="67"/>
      <c r="P12" s="67"/>
    </row>
    <row r="13" spans="1:16" s="218" customFormat="1" ht="15">
      <c r="A13" s="355" t="s">
        <v>176</v>
      </c>
      <c r="B13" s="414" t="s">
        <v>238</v>
      </c>
      <c r="C13" s="400"/>
      <c r="D13" s="271"/>
      <c r="E13" s="17"/>
      <c r="F13" s="351"/>
      <c r="G13" s="377"/>
      <c r="H13" s="353"/>
      <c r="I13" s="219"/>
      <c r="J13" s="224"/>
      <c r="L13" s="222"/>
    </row>
    <row r="14" spans="1:16" s="218" customFormat="1" ht="15">
      <c r="A14" s="349" t="s">
        <v>177</v>
      </c>
      <c r="B14" s="414" t="s">
        <v>237</v>
      </c>
      <c r="C14" s="400">
        <v>4.4139999999999997</v>
      </c>
      <c r="D14" s="271">
        <f t="shared" si="0"/>
        <v>19.574082464884462</v>
      </c>
      <c r="E14" s="17">
        <f t="shared" ref="E14:E15" si="3">100-($E$6*C14)+$E$7</f>
        <v>200</v>
      </c>
      <c r="F14" s="351">
        <f t="shared" ref="F14:F15" si="4">RANK($E14,$E$10:$E$21)</f>
        <v>1</v>
      </c>
      <c r="G14" s="401">
        <v>86.4</v>
      </c>
      <c r="H14" s="353"/>
      <c r="I14" s="219"/>
      <c r="J14" s="224"/>
      <c r="L14" s="222" t="s">
        <v>48</v>
      </c>
    </row>
    <row r="15" spans="1:16" ht="15">
      <c r="A15" s="356" t="s">
        <v>178</v>
      </c>
      <c r="B15" s="414" t="s">
        <v>237</v>
      </c>
      <c r="C15" s="400">
        <v>8.1660000000000004</v>
      </c>
      <c r="D15" s="271">
        <f t="shared" si="0"/>
        <v>10.580455547391624</v>
      </c>
      <c r="E15" s="17">
        <f t="shared" si="3"/>
        <v>100</v>
      </c>
      <c r="F15" s="351">
        <f t="shared" si="4"/>
        <v>4</v>
      </c>
      <c r="G15" s="401">
        <v>86.4</v>
      </c>
      <c r="H15" s="353"/>
      <c r="I15" s="133"/>
      <c r="J15" s="6"/>
      <c r="L15" s="54"/>
      <c r="M15" s="67"/>
      <c r="N15" s="67"/>
      <c r="O15" s="67"/>
      <c r="P15" s="67"/>
    </row>
    <row r="16" spans="1:16" ht="15" customHeight="1">
      <c r="A16" s="355" t="s">
        <v>179</v>
      </c>
      <c r="B16" s="414" t="s">
        <v>237</v>
      </c>
      <c r="C16" s="400"/>
      <c r="D16" s="271"/>
      <c r="E16" s="17"/>
      <c r="F16" s="351"/>
      <c r="G16" s="377"/>
      <c r="H16" s="353"/>
      <c r="I16" s="133"/>
      <c r="J16" s="6"/>
      <c r="L16" s="54" t="s">
        <v>48</v>
      </c>
      <c r="M16" s="67"/>
      <c r="N16" s="67"/>
      <c r="O16" s="67"/>
      <c r="P16" s="67"/>
    </row>
    <row r="17" spans="1:16" ht="15">
      <c r="A17" s="356" t="s">
        <v>180</v>
      </c>
      <c r="B17" s="414" t="s">
        <v>237</v>
      </c>
      <c r="C17" s="400"/>
      <c r="D17" s="271"/>
      <c r="E17" s="17"/>
      <c r="F17" s="351"/>
      <c r="G17" s="377"/>
      <c r="H17" s="353"/>
      <c r="I17" s="133"/>
      <c r="J17" s="6"/>
      <c r="M17" s="67"/>
      <c r="N17" s="67"/>
      <c r="O17" s="67"/>
      <c r="P17" s="67"/>
    </row>
    <row r="18" spans="1:16" ht="15">
      <c r="A18" s="356" t="s">
        <v>181</v>
      </c>
      <c r="B18" s="414" t="s">
        <v>237</v>
      </c>
      <c r="C18" s="400"/>
      <c r="D18" s="271"/>
      <c r="E18" s="17"/>
      <c r="F18" s="351"/>
      <c r="G18" s="377"/>
      <c r="H18" s="353"/>
      <c r="I18" s="133"/>
      <c r="J18" s="6"/>
      <c r="M18" s="67"/>
      <c r="N18" s="67"/>
      <c r="O18" s="67"/>
      <c r="P18" s="67"/>
    </row>
    <row r="19" spans="1:16" s="167" customFormat="1" ht="15">
      <c r="A19" s="356" t="s">
        <v>182</v>
      </c>
      <c r="B19" s="414" t="s">
        <v>238</v>
      </c>
      <c r="C19" s="400"/>
      <c r="D19" s="271"/>
      <c r="E19" s="17"/>
      <c r="F19" s="351"/>
      <c r="G19" s="377"/>
      <c r="H19" s="353"/>
      <c r="I19" s="133"/>
      <c r="J19" s="168"/>
    </row>
    <row r="20" spans="1:16" ht="15">
      <c r="A20" s="356" t="s">
        <v>183</v>
      </c>
      <c r="B20" s="414" t="s">
        <v>237</v>
      </c>
      <c r="C20" s="400"/>
      <c r="D20" s="271"/>
      <c r="E20" s="17"/>
      <c r="F20" s="351"/>
      <c r="G20" s="377"/>
      <c r="H20" s="353"/>
      <c r="I20" s="133"/>
    </row>
    <row r="21" spans="1:16" ht="15">
      <c r="A21" s="356" t="s">
        <v>184</v>
      </c>
      <c r="B21" s="414" t="s">
        <v>237</v>
      </c>
      <c r="C21" s="400"/>
      <c r="D21" s="271"/>
      <c r="E21" s="17"/>
      <c r="F21" s="351"/>
      <c r="G21" s="377"/>
      <c r="H21" s="353"/>
      <c r="I21" s="133"/>
    </row>
    <row r="22" spans="1:16">
      <c r="A22" s="6"/>
      <c r="B22" s="6"/>
      <c r="C22" s="6"/>
      <c r="D22" s="6"/>
      <c r="E22" s="6"/>
      <c r="F22" s="6"/>
      <c r="G22" s="224"/>
      <c r="H22" s="18"/>
    </row>
    <row r="23" spans="1:16">
      <c r="B23" s="369"/>
      <c r="D23" s="6"/>
    </row>
  </sheetData>
  <phoneticPr fontId="22" type="noConversion"/>
  <printOptions gridLines="1"/>
  <pageMargins left="0.75" right="0.75" top="1" bottom="1" header="0.5" footer="0.5"/>
  <pageSetup scale="6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2"/>
  <sheetViews>
    <sheetView workbookViewId="0">
      <selection activeCell="F21" sqref="F21"/>
    </sheetView>
  </sheetViews>
  <sheetFormatPr defaultRowHeight="12.75"/>
  <cols>
    <col min="1" max="1" width="40.85546875" customWidth="1"/>
    <col min="2" max="2" width="11" customWidth="1"/>
    <col min="3" max="3" width="21.42578125" style="67" customWidth="1"/>
    <col min="4" max="4" width="20" customWidth="1"/>
    <col min="5" max="5" width="16.85546875" customWidth="1"/>
    <col min="6" max="6" width="16.85546875" style="218" customWidth="1"/>
    <col min="7" max="7" width="16.85546875" customWidth="1"/>
    <col min="8" max="8" width="11.42578125" customWidth="1"/>
    <col min="9" max="9" width="12.28515625" customWidth="1"/>
    <col min="10" max="10" width="10.42578125" customWidth="1"/>
    <col min="11" max="11" width="13.7109375" customWidth="1"/>
    <col min="12" max="12" width="13.28515625" customWidth="1"/>
    <col min="13" max="13" width="12.28515625" customWidth="1"/>
    <col min="14" max="14" width="14.28515625" customWidth="1"/>
    <col min="15" max="15" width="12.7109375" customWidth="1"/>
    <col min="16" max="16" width="12.42578125" customWidth="1"/>
    <col min="17" max="17" width="11" customWidth="1"/>
  </cols>
  <sheetData>
    <row r="1" spans="1:16" ht="18.75">
      <c r="A1" s="7" t="s">
        <v>155</v>
      </c>
      <c r="B1" s="159"/>
      <c r="C1" s="38"/>
      <c r="D1" s="6"/>
      <c r="E1" s="19"/>
      <c r="F1" s="58" t="s">
        <v>154</v>
      </c>
      <c r="G1" s="53"/>
      <c r="H1" s="9"/>
      <c r="I1" s="6"/>
      <c r="J1" s="6"/>
      <c r="K1" s="6"/>
      <c r="L1" s="6"/>
      <c r="M1" s="6"/>
      <c r="N1" s="6"/>
      <c r="O1" s="6"/>
      <c r="P1" s="6"/>
    </row>
    <row r="2" spans="1:16" s="67" customFormat="1">
      <c r="A2" s="38"/>
      <c r="B2" s="177"/>
      <c r="C2" s="17"/>
      <c r="D2" s="9"/>
      <c r="E2" s="19"/>
      <c r="F2" s="58" t="s">
        <v>134</v>
      </c>
      <c r="G2" s="60"/>
      <c r="H2" s="68"/>
      <c r="I2" s="38"/>
      <c r="J2" s="38"/>
      <c r="K2" s="38"/>
      <c r="L2" s="38"/>
      <c r="M2" s="38"/>
      <c r="N2" s="38"/>
      <c r="O2" s="38"/>
      <c r="P2" s="38"/>
    </row>
    <row r="3" spans="1:16">
      <c r="A3" s="10" t="s">
        <v>196</v>
      </c>
      <c r="B3" s="160">
        <v>78</v>
      </c>
      <c r="C3" s="178" t="s">
        <v>219</v>
      </c>
      <c r="D3" s="56"/>
      <c r="E3" s="56" t="s">
        <v>39</v>
      </c>
      <c r="F3" s="56" t="s">
        <v>83</v>
      </c>
      <c r="G3" s="56" t="s">
        <v>84</v>
      </c>
      <c r="H3" s="12"/>
      <c r="I3" s="6"/>
      <c r="J3" s="6"/>
      <c r="K3" s="6"/>
      <c r="L3" s="6"/>
      <c r="M3" s="6"/>
      <c r="N3" s="6"/>
      <c r="O3" s="6"/>
      <c r="P3" s="6"/>
    </row>
    <row r="4" spans="1:16">
      <c r="A4" s="6"/>
      <c r="B4" s="124" t="s">
        <v>55</v>
      </c>
      <c r="C4" s="56" t="s">
        <v>56</v>
      </c>
      <c r="D4" s="23"/>
      <c r="E4" s="325" t="s">
        <v>86</v>
      </c>
      <c r="F4" s="56" t="s">
        <v>9</v>
      </c>
      <c r="G4" s="23" t="s">
        <v>56</v>
      </c>
      <c r="H4" s="23" t="s">
        <v>28</v>
      </c>
      <c r="I4" s="23"/>
      <c r="J4" s="20"/>
      <c r="K4" s="20"/>
      <c r="L4" s="5"/>
      <c r="M4" s="5"/>
      <c r="N4" s="5"/>
      <c r="O4" s="5"/>
      <c r="P4" s="2"/>
    </row>
    <row r="5" spans="1:16" ht="15">
      <c r="A5" s="349" t="s">
        <v>173</v>
      </c>
      <c r="B5" s="397">
        <v>77</v>
      </c>
      <c r="C5" s="250">
        <f>IF(B5&lt;$B$19,(10^(($B$18-B5)/10)*150),7.5)</f>
        <v>150</v>
      </c>
      <c r="D5" s="17"/>
      <c r="E5" s="398">
        <v>2</v>
      </c>
      <c r="F5" s="58">
        <f>-($E$19*E5)+$E$20</f>
        <v>150</v>
      </c>
      <c r="G5" s="58">
        <f>C5+F5</f>
        <v>300</v>
      </c>
      <c r="H5" s="56">
        <f>RANK(G5,$G$5:$G$16)</f>
        <v>1</v>
      </c>
      <c r="I5" s="57"/>
      <c r="J5" s="59"/>
      <c r="K5" s="30"/>
      <c r="L5" s="18"/>
      <c r="M5" s="58"/>
      <c r="N5" s="18"/>
      <c r="O5" s="18"/>
      <c r="P5" s="3"/>
    </row>
    <row r="6" spans="1:16" ht="15">
      <c r="A6" s="349" t="s">
        <v>174</v>
      </c>
      <c r="B6" s="397" t="s">
        <v>48</v>
      </c>
      <c r="C6" s="250">
        <v>0</v>
      </c>
      <c r="D6" s="17"/>
      <c r="E6" s="398" t="s">
        <v>48</v>
      </c>
      <c r="F6" s="58">
        <v>0</v>
      </c>
      <c r="G6" s="58">
        <f t="shared" ref="G6:G16" si="0">C6+F6</f>
        <v>0</v>
      </c>
      <c r="H6" s="56">
        <f t="shared" ref="H6:H16" si="1">RANK(G6,$G$5:$G$16)</f>
        <v>8</v>
      </c>
      <c r="I6" s="57"/>
      <c r="J6" s="59"/>
      <c r="K6" s="30"/>
      <c r="L6" s="18"/>
      <c r="M6" s="58"/>
      <c r="N6" s="18"/>
      <c r="O6" s="18"/>
      <c r="P6" s="3"/>
    </row>
    <row r="7" spans="1:16" ht="15">
      <c r="A7" s="349" t="s">
        <v>175</v>
      </c>
      <c r="B7" s="397">
        <v>86</v>
      </c>
      <c r="C7" s="250">
        <f t="shared" ref="C7:C14" si="2">IF(B7&lt;$B$19,(10^(($B$18-B7)/10)*150),7.5)</f>
        <v>18.883881176912499</v>
      </c>
      <c r="D7" s="17"/>
      <c r="E7" s="398">
        <v>3.8</v>
      </c>
      <c r="F7" s="58">
        <f t="shared" ref="F7:F14" si="3">-($E$19*E7)+$E$20</f>
        <v>0</v>
      </c>
      <c r="G7" s="58">
        <f t="shared" si="0"/>
        <v>18.883881176912499</v>
      </c>
      <c r="H7" s="56">
        <f t="shared" si="1"/>
        <v>7</v>
      </c>
      <c r="I7" s="57"/>
      <c r="J7" s="59"/>
      <c r="K7" s="30"/>
      <c r="L7" s="18"/>
      <c r="M7" s="58"/>
      <c r="N7" s="18"/>
      <c r="O7" s="18"/>
      <c r="P7" s="3"/>
    </row>
    <row r="8" spans="1:16" s="175" customFormat="1" ht="15">
      <c r="A8" s="355" t="s">
        <v>176</v>
      </c>
      <c r="B8" s="397" t="s">
        <v>48</v>
      </c>
      <c r="C8" s="250">
        <v>0</v>
      </c>
      <c r="D8" s="17"/>
      <c r="E8" s="398" t="s">
        <v>48</v>
      </c>
      <c r="F8" s="58">
        <v>0</v>
      </c>
      <c r="G8" s="58">
        <f t="shared" si="0"/>
        <v>0</v>
      </c>
      <c r="H8" s="56">
        <f t="shared" si="1"/>
        <v>8</v>
      </c>
      <c r="I8" s="284"/>
      <c r="J8" s="285"/>
      <c r="K8" s="278"/>
      <c r="L8" s="286"/>
      <c r="M8" s="58"/>
      <c r="N8" s="286"/>
      <c r="O8" s="286"/>
      <c r="P8" s="264"/>
    </row>
    <row r="9" spans="1:16" s="175" customFormat="1" ht="15">
      <c r="A9" s="349" t="s">
        <v>177</v>
      </c>
      <c r="B9" s="397">
        <v>84</v>
      </c>
      <c r="C9" s="250">
        <f t="shared" si="2"/>
        <v>29.928934724533192</v>
      </c>
      <c r="D9" s="17"/>
      <c r="E9" s="398">
        <v>3.75</v>
      </c>
      <c r="F9" s="58">
        <f t="shared" si="3"/>
        <v>4.1666666666666288</v>
      </c>
      <c r="G9" s="58">
        <f t="shared" si="0"/>
        <v>34.095601391199821</v>
      </c>
      <c r="H9" s="56">
        <f t="shared" si="1"/>
        <v>5</v>
      </c>
      <c r="I9" s="284"/>
      <c r="J9" s="285"/>
      <c r="K9" s="278"/>
      <c r="L9" s="286"/>
      <c r="M9" s="58"/>
      <c r="N9" s="286"/>
      <c r="O9" s="286"/>
      <c r="P9" s="264"/>
    </row>
    <row r="10" spans="1:16" ht="15">
      <c r="A10" s="356" t="s">
        <v>178</v>
      </c>
      <c r="B10" s="397">
        <v>84</v>
      </c>
      <c r="C10" s="250">
        <f t="shared" si="2"/>
        <v>29.928934724533192</v>
      </c>
      <c r="D10" s="17"/>
      <c r="E10" s="398">
        <v>3.1</v>
      </c>
      <c r="F10" s="58">
        <f t="shared" si="3"/>
        <v>58.333333333333314</v>
      </c>
      <c r="G10" s="58">
        <f t="shared" si="0"/>
        <v>88.262268057866507</v>
      </c>
      <c r="H10" s="56">
        <f t="shared" si="1"/>
        <v>4</v>
      </c>
      <c r="I10" s="57"/>
      <c r="J10" s="59"/>
      <c r="K10" s="30"/>
      <c r="N10" s="18"/>
      <c r="O10" s="18"/>
      <c r="P10" s="3"/>
    </row>
    <row r="11" spans="1:16" ht="15">
      <c r="A11" s="355" t="s">
        <v>179</v>
      </c>
      <c r="B11" s="397">
        <v>86</v>
      </c>
      <c r="C11" s="250">
        <f t="shared" si="2"/>
        <v>18.883881176912499</v>
      </c>
      <c r="D11" s="17"/>
      <c r="E11" s="398">
        <v>3.69</v>
      </c>
      <c r="F11" s="58">
        <f t="shared" si="3"/>
        <v>9.1666666666666288</v>
      </c>
      <c r="G11" s="58">
        <f t="shared" si="0"/>
        <v>28.050547843579128</v>
      </c>
      <c r="H11" s="56">
        <f t="shared" si="1"/>
        <v>6</v>
      </c>
      <c r="I11" s="57"/>
      <c r="J11" s="59"/>
      <c r="K11" s="30"/>
      <c r="N11" s="18"/>
      <c r="O11" s="18"/>
      <c r="P11" s="3"/>
    </row>
    <row r="12" spans="1:16" ht="15">
      <c r="A12" s="356" t="s">
        <v>180</v>
      </c>
      <c r="B12" s="397" t="s">
        <v>48</v>
      </c>
      <c r="C12" s="250">
        <v>0</v>
      </c>
      <c r="D12" s="17"/>
      <c r="E12" s="398" t="s">
        <v>48</v>
      </c>
      <c r="F12" s="58">
        <v>0</v>
      </c>
      <c r="G12" s="58">
        <f t="shared" si="0"/>
        <v>0</v>
      </c>
      <c r="H12" s="56">
        <f t="shared" si="1"/>
        <v>8</v>
      </c>
      <c r="I12" s="57"/>
      <c r="J12" s="59"/>
      <c r="K12" s="30"/>
      <c r="L12" s="18"/>
      <c r="M12" s="58"/>
      <c r="N12" s="18"/>
      <c r="O12" s="18"/>
      <c r="P12" s="3"/>
    </row>
    <row r="13" spans="1:16" ht="15">
      <c r="A13" s="356" t="s">
        <v>181</v>
      </c>
      <c r="B13" s="397">
        <v>77</v>
      </c>
      <c r="C13" s="250">
        <f t="shared" si="2"/>
        <v>150</v>
      </c>
      <c r="D13" s="17"/>
      <c r="E13" s="398">
        <v>2.2400000000000002</v>
      </c>
      <c r="F13" s="58">
        <f t="shared" si="3"/>
        <v>129.99999999999997</v>
      </c>
      <c r="G13" s="58">
        <f t="shared" si="0"/>
        <v>280</v>
      </c>
      <c r="H13" s="56">
        <f t="shared" si="1"/>
        <v>3</v>
      </c>
      <c r="I13" s="57"/>
      <c r="J13" s="59"/>
      <c r="K13" s="30"/>
      <c r="L13" s="18"/>
      <c r="M13" s="58"/>
      <c r="N13" s="18"/>
      <c r="O13" s="18"/>
      <c r="P13" s="3"/>
    </row>
    <row r="14" spans="1:16" s="143" customFormat="1" ht="15">
      <c r="A14" s="356" t="s">
        <v>182</v>
      </c>
      <c r="B14" s="397">
        <v>77</v>
      </c>
      <c r="C14" s="250">
        <f t="shared" si="2"/>
        <v>150</v>
      </c>
      <c r="D14" s="17"/>
      <c r="E14" s="398">
        <v>2.15</v>
      </c>
      <c r="F14" s="58">
        <f t="shared" si="3"/>
        <v>137.5</v>
      </c>
      <c r="G14" s="58">
        <f t="shared" si="0"/>
        <v>287.5</v>
      </c>
      <c r="H14" s="56">
        <f t="shared" si="1"/>
        <v>2</v>
      </c>
      <c r="I14" s="148"/>
      <c r="J14" s="149"/>
      <c r="K14" s="150"/>
      <c r="L14" s="144"/>
      <c r="M14" s="151"/>
      <c r="N14" s="144"/>
      <c r="O14" s="144"/>
      <c r="P14" s="142"/>
    </row>
    <row r="15" spans="1:16" s="143" customFormat="1" ht="15">
      <c r="A15" s="356" t="s">
        <v>183</v>
      </c>
      <c r="B15" s="397" t="s">
        <v>48</v>
      </c>
      <c r="C15" s="250">
        <v>0</v>
      </c>
      <c r="D15" s="17"/>
      <c r="E15" s="398"/>
      <c r="F15" s="58">
        <v>0</v>
      </c>
      <c r="G15" s="58">
        <f t="shared" si="0"/>
        <v>0</v>
      </c>
      <c r="H15" s="56">
        <f t="shared" si="1"/>
        <v>8</v>
      </c>
      <c r="I15" s="164"/>
      <c r="J15" s="136"/>
      <c r="K15" s="136"/>
    </row>
    <row r="16" spans="1:16" ht="15">
      <c r="A16" s="356" t="s">
        <v>184</v>
      </c>
      <c r="B16" s="397" t="s">
        <v>48</v>
      </c>
      <c r="C16" s="250">
        <v>0</v>
      </c>
      <c r="D16" s="17"/>
      <c r="E16" s="398"/>
      <c r="F16" s="58">
        <v>0</v>
      </c>
      <c r="G16" s="58">
        <f t="shared" si="0"/>
        <v>0</v>
      </c>
      <c r="H16" s="56">
        <f t="shared" si="1"/>
        <v>8</v>
      </c>
      <c r="I16" s="4"/>
      <c r="J16" s="1"/>
      <c r="K16" s="1"/>
      <c r="L16" s="1"/>
    </row>
    <row r="17" spans="1:12">
      <c r="B17" s="71"/>
      <c r="C17" s="71"/>
      <c r="D17" s="71" t="s">
        <v>198</v>
      </c>
      <c r="E17" s="184">
        <f>MIN(E5:E16)</f>
        <v>2</v>
      </c>
      <c r="F17" s="335"/>
      <c r="G17" s="55"/>
      <c r="H17" s="55"/>
      <c r="I17" s="4"/>
      <c r="J17" s="70"/>
      <c r="K17" s="72"/>
      <c r="L17" s="1"/>
    </row>
    <row r="18" spans="1:12">
      <c r="A18" s="180" t="s">
        <v>218</v>
      </c>
      <c r="B18" s="74">
        <f>MIN(B5:B16)</f>
        <v>77</v>
      </c>
      <c r="C18" s="75"/>
      <c r="D18" s="75" t="s">
        <v>200</v>
      </c>
      <c r="E18" s="184">
        <f>MAX(E5:E16)</f>
        <v>3.8</v>
      </c>
      <c r="F18" s="332"/>
      <c r="G18" s="75"/>
      <c r="H18" s="76"/>
      <c r="I18" s="4"/>
      <c r="J18" s="1"/>
      <c r="K18" s="1"/>
      <c r="L18" s="1"/>
    </row>
    <row r="19" spans="1:12">
      <c r="A19" s="180" t="s">
        <v>220</v>
      </c>
      <c r="B19" s="399">
        <v>87</v>
      </c>
      <c r="C19" s="75"/>
      <c r="D19" s="75" t="s">
        <v>197</v>
      </c>
      <c r="E19" s="75">
        <f>150/(E18-E17)</f>
        <v>83.333333333333343</v>
      </c>
      <c r="F19" s="332"/>
      <c r="G19" s="75"/>
      <c r="H19" s="76"/>
      <c r="I19" s="4"/>
      <c r="J19" s="1"/>
      <c r="K19" s="1"/>
      <c r="L19" s="1"/>
    </row>
    <row r="20" spans="1:12">
      <c r="A20" s="317"/>
      <c r="B20" s="74"/>
      <c r="C20" s="75"/>
      <c r="D20" s="75" t="s">
        <v>199</v>
      </c>
      <c r="E20" s="75">
        <f>E19*E18</f>
        <v>316.66666666666669</v>
      </c>
      <c r="F20" s="332"/>
      <c r="G20" s="75"/>
      <c r="H20" s="76"/>
      <c r="I20" s="4"/>
      <c r="J20" s="1"/>
      <c r="K20" s="1"/>
      <c r="L20" s="1"/>
    </row>
    <row r="21" spans="1:12">
      <c r="A21" s="379"/>
      <c r="B21" s="74"/>
      <c r="C21" s="75"/>
      <c r="D21" s="75"/>
      <c r="E21" s="75"/>
      <c r="F21" s="332"/>
      <c r="G21" s="75"/>
      <c r="H21" s="76"/>
      <c r="I21" s="4"/>
      <c r="J21" s="1"/>
      <c r="K21" s="1"/>
      <c r="L21" s="1"/>
    </row>
    <row r="22" spans="1:12">
      <c r="A22" s="337"/>
      <c r="B22" s="74"/>
      <c r="C22" s="75"/>
      <c r="D22" s="75"/>
      <c r="E22" s="75"/>
      <c r="F22" s="332"/>
      <c r="G22" s="75"/>
      <c r="H22" s="76"/>
      <c r="I22" s="4"/>
      <c r="J22" s="1"/>
      <c r="K22" s="1"/>
      <c r="L22" s="1"/>
    </row>
    <row r="23" spans="1:12">
      <c r="A23" s="337"/>
      <c r="B23" s="74"/>
      <c r="C23" s="75"/>
      <c r="D23" s="75"/>
      <c r="F23" s="332"/>
      <c r="G23" s="75"/>
      <c r="H23" s="76"/>
      <c r="I23" s="4"/>
      <c r="J23" s="1"/>
      <c r="K23" s="1"/>
      <c r="L23" s="1"/>
    </row>
    <row r="24" spans="1:12">
      <c r="A24" s="337"/>
      <c r="B24" s="380" t="s">
        <v>221</v>
      </c>
      <c r="C24" s="75"/>
      <c r="D24" s="75"/>
      <c r="F24" s="332"/>
      <c r="G24" s="75"/>
      <c r="H24" s="76"/>
      <c r="I24" s="4"/>
      <c r="J24" s="1"/>
      <c r="K24" s="1"/>
      <c r="L24" s="1"/>
    </row>
    <row r="25" spans="1:12">
      <c r="A25" s="73"/>
      <c r="B25" s="378" t="s">
        <v>132</v>
      </c>
      <c r="C25" s="371" t="s">
        <v>56</v>
      </c>
      <c r="D25" s="75"/>
      <c r="E25" s="75"/>
      <c r="F25" s="332"/>
      <c r="G25" s="75"/>
      <c r="H25" s="76"/>
      <c r="I25" s="4"/>
      <c r="J25" s="1"/>
      <c r="K25" s="1"/>
      <c r="L25" s="1"/>
    </row>
    <row r="26" spans="1:12">
      <c r="A26" s="372" t="s">
        <v>201</v>
      </c>
      <c r="B26" s="370">
        <f>B18</f>
        <v>77</v>
      </c>
      <c r="C26" s="250">
        <f>10^(($B$26-B26)/10)*150</f>
        <v>150</v>
      </c>
      <c r="D26" s="382" t="s">
        <v>222</v>
      </c>
      <c r="E26" s="75"/>
      <c r="F26" s="332"/>
      <c r="G26" s="75"/>
      <c r="H26" s="76"/>
      <c r="I26" s="4"/>
      <c r="J26" s="1"/>
      <c r="K26" s="1"/>
      <c r="L26" s="1"/>
    </row>
    <row r="27" spans="1:12">
      <c r="A27" s="73"/>
      <c r="B27" s="370">
        <f>B26+0.5</f>
        <v>77.5</v>
      </c>
      <c r="C27" s="250">
        <f t="shared" ref="C27:C41" si="4">10^(($B$26-B27)/10)*150</f>
        <v>133.68764072006181</v>
      </c>
      <c r="D27" s="75"/>
      <c r="E27" s="75"/>
      <c r="F27" s="332"/>
      <c r="G27" s="75"/>
      <c r="H27" s="76"/>
      <c r="I27" s="4"/>
      <c r="J27" s="1"/>
      <c r="K27" s="1"/>
      <c r="L27" s="1"/>
    </row>
    <row r="28" spans="1:12">
      <c r="A28" s="73"/>
      <c r="B28" s="370">
        <f t="shared" ref="B28:B42" si="5">B27+0.5</f>
        <v>78</v>
      </c>
      <c r="C28" s="250">
        <f t="shared" si="4"/>
        <v>119.14923520864222</v>
      </c>
      <c r="D28" s="75"/>
      <c r="E28" s="75"/>
      <c r="F28" s="332"/>
      <c r="G28" s="75"/>
      <c r="H28" s="76"/>
      <c r="I28" s="4"/>
      <c r="J28" s="1"/>
      <c r="K28" s="1"/>
      <c r="L28" s="1"/>
    </row>
    <row r="29" spans="1:12">
      <c r="A29" s="73"/>
      <c r="B29" s="370">
        <f t="shared" si="5"/>
        <v>78.5</v>
      </c>
      <c r="C29" s="250">
        <f t="shared" si="4"/>
        <v>106.19186765762069</v>
      </c>
      <c r="D29" s="75"/>
      <c r="E29" s="75"/>
      <c r="F29" s="332"/>
      <c r="G29" s="75"/>
      <c r="H29" s="76"/>
      <c r="I29" s="4"/>
      <c r="J29" s="1"/>
      <c r="K29" s="1"/>
      <c r="L29" s="1"/>
    </row>
    <row r="30" spans="1:12">
      <c r="A30" s="73"/>
      <c r="B30" s="370">
        <f t="shared" si="5"/>
        <v>79</v>
      </c>
      <c r="C30" s="250">
        <f t="shared" si="4"/>
        <v>94.643601672028993</v>
      </c>
      <c r="D30" s="75"/>
      <c r="E30" s="75"/>
      <c r="F30" s="332"/>
      <c r="G30" s="75"/>
      <c r="H30" s="76"/>
      <c r="I30" s="4"/>
      <c r="J30" s="1"/>
      <c r="K30" s="1"/>
      <c r="L30" s="1"/>
    </row>
    <row r="31" spans="1:12">
      <c r="A31" s="73"/>
      <c r="B31" s="370">
        <f t="shared" si="5"/>
        <v>79.5</v>
      </c>
      <c r="C31" s="250">
        <f t="shared" si="4"/>
        <v>84.351198778552359</v>
      </c>
      <c r="D31" s="75"/>
      <c r="E31" s="75"/>
      <c r="F31" s="332"/>
      <c r="G31" s="75"/>
      <c r="H31" s="76"/>
      <c r="I31" s="4"/>
      <c r="J31" s="1"/>
      <c r="K31" s="1"/>
      <c r="L31" s="1"/>
    </row>
    <row r="32" spans="1:12">
      <c r="A32" s="73"/>
      <c r="B32" s="370">
        <f t="shared" si="5"/>
        <v>80</v>
      </c>
      <c r="C32" s="250">
        <f>10^(($B$26-B32)/10)*150</f>
        <v>75.178085044090835</v>
      </c>
      <c r="D32" s="179"/>
      <c r="E32" s="75"/>
      <c r="F32" s="336"/>
      <c r="G32" s="180"/>
      <c r="H32" s="76"/>
      <c r="I32" s="4"/>
      <c r="J32" s="1"/>
      <c r="K32" s="1"/>
      <c r="L32" s="1"/>
    </row>
    <row r="33" spans="1:12">
      <c r="A33" s="73"/>
      <c r="B33" s="370">
        <f t="shared" si="5"/>
        <v>80.5</v>
      </c>
      <c r="C33" s="250">
        <f t="shared" si="4"/>
        <v>67.002538822644468</v>
      </c>
      <c r="D33" s="75"/>
      <c r="E33" s="75"/>
      <c r="F33" s="332"/>
      <c r="G33" s="75"/>
      <c r="H33" s="76"/>
      <c r="I33" s="4"/>
      <c r="J33" s="1"/>
      <c r="K33" s="1"/>
      <c r="L33" s="1"/>
    </row>
    <row r="34" spans="1:12">
      <c r="A34" s="1"/>
      <c r="B34" s="370">
        <f t="shared" si="5"/>
        <v>81</v>
      </c>
      <c r="C34" s="250">
        <f t="shared" si="4"/>
        <v>59.716075583024583</v>
      </c>
      <c r="D34" s="1"/>
      <c r="E34" s="1"/>
      <c r="F34" s="333"/>
      <c r="G34" s="1"/>
      <c r="H34" s="1"/>
      <c r="I34" s="4"/>
      <c r="J34" s="1"/>
      <c r="K34" s="1"/>
      <c r="L34" s="1"/>
    </row>
    <row r="35" spans="1:12">
      <c r="A35" s="1"/>
      <c r="B35" s="370">
        <f t="shared" si="5"/>
        <v>81.5</v>
      </c>
      <c r="C35" s="250">
        <f t="shared" si="4"/>
        <v>53.222008385036311</v>
      </c>
      <c r="D35" s="4"/>
      <c r="E35" s="4"/>
      <c r="F35" s="334"/>
      <c r="G35" s="4"/>
      <c r="H35" s="4"/>
      <c r="I35" s="4"/>
      <c r="J35" s="1"/>
      <c r="K35" s="1"/>
      <c r="L35" s="1"/>
    </row>
    <row r="36" spans="1:12">
      <c r="B36" s="370">
        <f t="shared" si="5"/>
        <v>82</v>
      </c>
      <c r="C36" s="250">
        <f t="shared" si="4"/>
        <v>47.434164902525694</v>
      </c>
      <c r="D36" s="4"/>
      <c r="E36" s="4"/>
      <c r="F36" s="334"/>
      <c r="G36" s="4"/>
      <c r="H36" s="4"/>
      <c r="I36" s="4"/>
    </row>
    <row r="37" spans="1:12">
      <c r="B37" s="370">
        <f t="shared" si="5"/>
        <v>82.5</v>
      </c>
      <c r="C37" s="250">
        <f t="shared" si="4"/>
        <v>42.2757439689668</v>
      </c>
      <c r="D37" s="4"/>
      <c r="E37" s="4"/>
      <c r="F37" s="334"/>
      <c r="G37" s="4"/>
      <c r="H37" s="4"/>
      <c r="I37" s="4"/>
    </row>
    <row r="38" spans="1:12">
      <c r="B38" s="370">
        <f t="shared" si="5"/>
        <v>83</v>
      </c>
      <c r="C38" s="250">
        <f t="shared" si="4"/>
        <v>37.678296472643702</v>
      </c>
      <c r="D38" s="4"/>
      <c r="E38" s="4"/>
      <c r="F38" s="334"/>
      <c r="G38" s="4"/>
      <c r="H38" s="4"/>
      <c r="I38" s="4"/>
    </row>
    <row r="39" spans="1:12">
      <c r="B39" s="370">
        <f t="shared" si="5"/>
        <v>83.5</v>
      </c>
      <c r="C39" s="250">
        <f t="shared" si="4"/>
        <v>33.580817078525087</v>
      </c>
      <c r="D39" s="4"/>
      <c r="E39" s="4"/>
      <c r="F39" s="334"/>
      <c r="G39" s="4"/>
      <c r="H39" s="4"/>
      <c r="I39" s="4"/>
    </row>
    <row r="40" spans="1:12">
      <c r="B40" s="370">
        <f t="shared" si="5"/>
        <v>84</v>
      </c>
      <c r="C40" s="250">
        <f t="shared" si="4"/>
        <v>29.928934724533192</v>
      </c>
      <c r="D40" s="4"/>
      <c r="E40" s="4"/>
      <c r="F40" s="334"/>
      <c r="G40" s="4"/>
      <c r="H40" s="4"/>
      <c r="I40" s="4"/>
    </row>
    <row r="41" spans="1:12">
      <c r="B41" s="370">
        <f t="shared" si="5"/>
        <v>84.5</v>
      </c>
      <c r="C41" s="250">
        <f t="shared" si="4"/>
        <v>26.674191150583834</v>
      </c>
      <c r="D41" s="4"/>
      <c r="E41" s="4"/>
      <c r="F41" s="334"/>
      <c r="G41" s="4"/>
      <c r="H41" s="4"/>
      <c r="I41" s="4"/>
    </row>
    <row r="42" spans="1:12">
      <c r="A42" s="352" t="s">
        <v>202</v>
      </c>
      <c r="B42" s="370">
        <f t="shared" si="5"/>
        <v>85</v>
      </c>
      <c r="C42" s="250">
        <v>7.5</v>
      </c>
      <c r="D42" s="381" t="s">
        <v>223</v>
      </c>
      <c r="E42" s="4"/>
      <c r="F42" s="334"/>
      <c r="G42" s="4"/>
      <c r="H42" s="4"/>
      <c r="I42" s="4"/>
    </row>
    <row r="43" spans="1:12">
      <c r="B43" s="370"/>
      <c r="C43" s="354"/>
      <c r="D43" s="4"/>
      <c r="E43" s="4"/>
      <c r="F43" s="334"/>
      <c r="G43" s="4"/>
      <c r="H43" s="4"/>
      <c r="I43" s="4"/>
    </row>
    <row r="44" spans="1:12">
      <c r="B44" s="370"/>
      <c r="C44" s="354"/>
      <c r="D44" s="4"/>
      <c r="E44" s="4"/>
      <c r="F44" s="334"/>
      <c r="G44" s="4"/>
      <c r="H44" s="4"/>
      <c r="I44" s="4"/>
    </row>
    <row r="45" spans="1:12">
      <c r="B45" s="74"/>
      <c r="C45" s="207"/>
      <c r="D45" s="4"/>
      <c r="E45" s="4"/>
      <c r="F45" s="334"/>
      <c r="G45" s="4"/>
      <c r="H45" s="4"/>
      <c r="I45" s="4"/>
    </row>
    <row r="46" spans="1:12">
      <c r="B46" s="74"/>
      <c r="C46" s="207"/>
      <c r="D46" s="4"/>
      <c r="E46" s="4"/>
      <c r="F46" s="334"/>
      <c r="G46" s="4"/>
      <c r="H46" s="4"/>
      <c r="I46" s="4"/>
    </row>
    <row r="47" spans="1:12">
      <c r="B47" s="74"/>
      <c r="C47" s="207"/>
      <c r="D47" s="4"/>
      <c r="E47" s="4"/>
      <c r="F47" s="334"/>
      <c r="G47" s="4"/>
      <c r="H47" s="4"/>
      <c r="I47" s="4"/>
    </row>
    <row r="48" spans="1:12">
      <c r="B48" s="74"/>
      <c r="C48" s="207"/>
      <c r="D48" s="4"/>
      <c r="E48" s="4"/>
      <c r="F48" s="334"/>
      <c r="G48" s="4"/>
      <c r="H48" s="4"/>
      <c r="I48" s="4"/>
    </row>
    <row r="49" spans="2:9">
      <c r="B49" s="74"/>
      <c r="C49" s="207"/>
      <c r="D49" s="4"/>
      <c r="E49" s="4"/>
      <c r="F49" s="334"/>
      <c r="G49" s="4"/>
      <c r="H49" s="4"/>
      <c r="I49" s="4"/>
    </row>
    <row r="50" spans="2:9">
      <c r="B50" s="74"/>
      <c r="C50" s="207"/>
      <c r="D50" s="4"/>
      <c r="E50" s="4"/>
      <c r="F50" s="334"/>
      <c r="G50" s="4"/>
      <c r="H50" s="4"/>
      <c r="I50" s="4"/>
    </row>
    <row r="51" spans="2:9">
      <c r="B51" s="74"/>
    </row>
    <row r="52" spans="2:9">
      <c r="B52" s="74"/>
    </row>
  </sheetData>
  <phoneticPr fontId="22" type="noConversion"/>
  <printOptions gridLines="1"/>
  <pageMargins left="0.75" right="0.75" top="0.5" bottom="0.5" header="0.5" footer="0.5"/>
  <pageSetup scale="79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F1" sqref="F1"/>
    </sheetView>
  </sheetViews>
  <sheetFormatPr defaultRowHeight="12.75"/>
  <cols>
    <col min="1" max="1" width="34" customWidth="1"/>
    <col min="2" max="2" width="9" style="3" customWidth="1"/>
    <col min="3" max="3" width="8.7109375" customWidth="1"/>
    <col min="4" max="4" width="6.7109375" customWidth="1"/>
    <col min="5" max="5" width="10.5703125" customWidth="1"/>
    <col min="6" max="6" width="9.5703125" customWidth="1"/>
    <col min="7" max="7" width="11.5703125" customWidth="1"/>
    <col min="8" max="8" width="12.28515625" customWidth="1"/>
    <col min="9" max="10" width="9.85546875" customWidth="1"/>
    <col min="11" max="11" width="10.28515625" customWidth="1"/>
    <col min="12" max="12" width="11.42578125" customWidth="1"/>
    <col min="13" max="13" width="11" customWidth="1"/>
    <col min="14" max="14" width="11.140625" customWidth="1"/>
    <col min="15" max="15" width="12.5703125" customWidth="1"/>
    <col min="16" max="16" width="10" customWidth="1"/>
    <col min="17" max="17" width="10.42578125" customWidth="1"/>
    <col min="18" max="18" width="10.5703125" customWidth="1"/>
    <col min="19" max="19" width="9.5703125" customWidth="1"/>
    <col min="20" max="20" width="10.5703125" customWidth="1"/>
    <col min="21" max="21" width="6.7109375" customWidth="1"/>
  </cols>
  <sheetData>
    <row r="1" spans="1:24" ht="18.75">
      <c r="A1" s="45" t="s">
        <v>210</v>
      </c>
      <c r="B1" s="42"/>
      <c r="C1" s="31"/>
      <c r="D1" s="31"/>
      <c r="E1" s="31"/>
      <c r="F1" s="26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218"/>
      <c r="W1" s="218"/>
    </row>
    <row r="2" spans="1:24">
      <c r="B2" s="42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218"/>
      <c r="W2" s="218"/>
    </row>
    <row r="3" spans="1:24" s="67" customFormat="1">
      <c r="A3" s="171"/>
      <c r="B3" s="383">
        <v>1</v>
      </c>
      <c r="C3" s="383">
        <v>2</v>
      </c>
      <c r="D3" s="383">
        <v>3</v>
      </c>
      <c r="E3" s="383">
        <v>4</v>
      </c>
      <c r="F3" s="383">
        <v>5</v>
      </c>
      <c r="G3" s="383">
        <v>6</v>
      </c>
      <c r="H3" s="383">
        <v>7</v>
      </c>
      <c r="I3" s="383">
        <v>8</v>
      </c>
      <c r="J3" s="383">
        <v>9</v>
      </c>
      <c r="K3" s="383">
        <v>10</v>
      </c>
      <c r="L3" s="383">
        <v>11</v>
      </c>
      <c r="M3" s="383">
        <v>12</v>
      </c>
      <c r="N3" s="383">
        <v>13</v>
      </c>
      <c r="O3" s="383">
        <v>14</v>
      </c>
      <c r="P3" s="383">
        <v>15</v>
      </c>
      <c r="Q3" s="383">
        <v>16</v>
      </c>
      <c r="R3" s="383">
        <v>17</v>
      </c>
      <c r="S3" s="383">
        <v>18</v>
      </c>
      <c r="T3" s="383">
        <v>19</v>
      </c>
      <c r="U3" s="383">
        <v>20</v>
      </c>
      <c r="V3" s="198" t="s">
        <v>79</v>
      </c>
      <c r="W3" s="198" t="s">
        <v>56</v>
      </c>
      <c r="X3" s="173" t="s">
        <v>28</v>
      </c>
    </row>
    <row r="4" spans="1:24" s="67" customFormat="1" ht="15">
      <c r="A4" s="349" t="s">
        <v>173</v>
      </c>
      <c r="B4" s="405">
        <v>40</v>
      </c>
      <c r="C4" s="384">
        <v>47</v>
      </c>
      <c r="D4" s="384">
        <v>62</v>
      </c>
      <c r="E4" s="384">
        <v>56</v>
      </c>
      <c r="F4" s="384">
        <v>45</v>
      </c>
      <c r="G4" s="384">
        <v>49</v>
      </c>
      <c r="H4" s="384">
        <v>57.5</v>
      </c>
      <c r="I4" s="384">
        <v>72.5</v>
      </c>
      <c r="J4" s="384">
        <v>45</v>
      </c>
      <c r="K4" s="384">
        <v>52.5</v>
      </c>
      <c r="L4" s="384">
        <v>41.5</v>
      </c>
      <c r="M4" s="384">
        <v>52.5</v>
      </c>
      <c r="N4" s="384">
        <v>54</v>
      </c>
      <c r="O4" s="384">
        <v>65</v>
      </c>
      <c r="P4" s="384">
        <v>42</v>
      </c>
      <c r="Q4" s="385">
        <v>27.5</v>
      </c>
      <c r="R4" s="386">
        <v>28</v>
      </c>
      <c r="S4" s="386">
        <v>28</v>
      </c>
      <c r="T4" s="386">
        <v>82.5</v>
      </c>
      <c r="U4" s="386">
        <v>65</v>
      </c>
      <c r="V4" s="373">
        <f t="shared" ref="V4:V15" si="0">AVERAGE(B4:U4)</f>
        <v>50.625</v>
      </c>
      <c r="W4" s="373">
        <f>IF(V4&lt;5,5,V4)</f>
        <v>50.625</v>
      </c>
      <c r="X4" s="197">
        <f t="shared" ref="X4:X15" si="1">RANK(W4,$W$4:$W$15)</f>
        <v>8</v>
      </c>
    </row>
    <row r="5" spans="1:24" s="67" customFormat="1" ht="15">
      <c r="A5" s="349" t="s">
        <v>174</v>
      </c>
      <c r="B5" s="405">
        <v>72.5</v>
      </c>
      <c r="C5" s="384">
        <v>59.5</v>
      </c>
      <c r="D5" s="384">
        <v>73</v>
      </c>
      <c r="E5" s="384">
        <v>65.5</v>
      </c>
      <c r="F5" s="384">
        <v>57.5</v>
      </c>
      <c r="G5" s="384">
        <v>69.5</v>
      </c>
      <c r="H5" s="384">
        <v>72.5</v>
      </c>
      <c r="I5" s="384">
        <v>80</v>
      </c>
      <c r="J5" s="384">
        <v>67</v>
      </c>
      <c r="K5" s="384">
        <v>67.5</v>
      </c>
      <c r="L5" s="384">
        <v>65</v>
      </c>
      <c r="M5" s="384">
        <v>90</v>
      </c>
      <c r="N5" s="384">
        <v>65</v>
      </c>
      <c r="O5" s="384">
        <v>60</v>
      </c>
      <c r="P5" s="384">
        <v>84</v>
      </c>
      <c r="Q5" s="385">
        <v>52.5</v>
      </c>
      <c r="R5" s="386">
        <v>56</v>
      </c>
      <c r="S5" s="386">
        <v>68</v>
      </c>
      <c r="T5" s="386">
        <v>95</v>
      </c>
      <c r="U5" s="386">
        <v>62.5</v>
      </c>
      <c r="V5" s="373">
        <f t="shared" si="0"/>
        <v>69.125</v>
      </c>
      <c r="W5" s="373">
        <f>IF(V5&lt;5,5,V5)</f>
        <v>69.125</v>
      </c>
      <c r="X5" s="197">
        <f t="shared" si="1"/>
        <v>3</v>
      </c>
    </row>
    <row r="6" spans="1:24" s="175" customFormat="1" ht="15">
      <c r="A6" s="349" t="s">
        <v>175</v>
      </c>
      <c r="B6" s="405">
        <v>67.5</v>
      </c>
      <c r="C6" s="384">
        <v>73</v>
      </c>
      <c r="D6" s="384">
        <v>77</v>
      </c>
      <c r="E6" s="384">
        <v>54.5</v>
      </c>
      <c r="F6" s="384">
        <v>37.5</v>
      </c>
      <c r="G6" s="384">
        <v>60.5</v>
      </c>
      <c r="H6" s="384">
        <v>75</v>
      </c>
      <c r="I6" s="384">
        <v>82.5</v>
      </c>
      <c r="J6" s="384">
        <v>53</v>
      </c>
      <c r="K6" s="384">
        <v>60</v>
      </c>
      <c r="L6" s="384">
        <v>53</v>
      </c>
      <c r="M6" s="384">
        <v>75</v>
      </c>
      <c r="N6" s="384">
        <v>70</v>
      </c>
      <c r="O6" s="384">
        <v>70</v>
      </c>
      <c r="P6" s="384">
        <v>89</v>
      </c>
      <c r="Q6" s="385">
        <v>56</v>
      </c>
      <c r="R6" s="386">
        <v>60</v>
      </c>
      <c r="S6" s="386">
        <v>64</v>
      </c>
      <c r="T6" s="386">
        <v>87.5</v>
      </c>
      <c r="U6" s="386">
        <v>72.5</v>
      </c>
      <c r="V6" s="373">
        <f t="shared" si="0"/>
        <v>66.875</v>
      </c>
      <c r="W6" s="373">
        <f t="shared" ref="W6:W15" si="2">IF(V6&lt;5,5,V6)</f>
        <v>66.875</v>
      </c>
      <c r="X6" s="251">
        <f t="shared" si="1"/>
        <v>4</v>
      </c>
    </row>
    <row r="7" spans="1:24" s="67" customFormat="1" ht="15">
      <c r="A7" s="355" t="s">
        <v>176</v>
      </c>
      <c r="B7" s="387">
        <v>30</v>
      </c>
      <c r="C7" s="386">
        <v>62.5</v>
      </c>
      <c r="D7" s="386">
        <v>61</v>
      </c>
      <c r="E7" s="385">
        <v>31.5</v>
      </c>
      <c r="F7" s="386">
        <v>27.5</v>
      </c>
      <c r="G7" s="385">
        <v>45.5</v>
      </c>
      <c r="H7" s="386">
        <v>45</v>
      </c>
      <c r="I7" s="386">
        <v>58.5</v>
      </c>
      <c r="J7" s="385">
        <v>44</v>
      </c>
      <c r="K7" s="385">
        <v>50</v>
      </c>
      <c r="L7" s="385">
        <v>36</v>
      </c>
      <c r="M7" s="385">
        <v>62.5</v>
      </c>
      <c r="N7" s="386">
        <v>46</v>
      </c>
      <c r="O7" s="384">
        <v>40</v>
      </c>
      <c r="P7" s="384">
        <v>56</v>
      </c>
      <c r="Q7" s="385">
        <v>30</v>
      </c>
      <c r="R7" s="386">
        <v>17</v>
      </c>
      <c r="S7" s="386">
        <v>51</v>
      </c>
      <c r="T7" s="386">
        <v>55</v>
      </c>
      <c r="U7" s="386">
        <v>65</v>
      </c>
      <c r="V7" s="373">
        <f t="shared" si="0"/>
        <v>45.7</v>
      </c>
      <c r="W7" s="373">
        <f t="shared" si="2"/>
        <v>45.7</v>
      </c>
      <c r="X7" s="251">
        <f t="shared" si="1"/>
        <v>11</v>
      </c>
    </row>
    <row r="8" spans="1:24" s="67" customFormat="1" ht="15">
      <c r="A8" s="349" t="s">
        <v>177</v>
      </c>
      <c r="B8" s="387">
        <v>40</v>
      </c>
      <c r="C8" s="386">
        <v>51</v>
      </c>
      <c r="D8" s="386">
        <v>73</v>
      </c>
      <c r="E8" s="385">
        <v>76</v>
      </c>
      <c r="F8" s="386">
        <v>52.5</v>
      </c>
      <c r="G8" s="385">
        <v>65</v>
      </c>
      <c r="H8" s="386">
        <v>75</v>
      </c>
      <c r="I8" s="386">
        <v>85</v>
      </c>
      <c r="J8" s="385">
        <v>48</v>
      </c>
      <c r="K8" s="385">
        <v>72.5</v>
      </c>
      <c r="L8" s="385">
        <v>53</v>
      </c>
      <c r="M8" s="385">
        <v>60</v>
      </c>
      <c r="N8" s="386">
        <v>59</v>
      </c>
      <c r="O8" s="386">
        <v>70</v>
      </c>
      <c r="P8" s="386">
        <v>76</v>
      </c>
      <c r="Q8" s="385">
        <v>47.5</v>
      </c>
      <c r="R8" s="386">
        <v>65</v>
      </c>
      <c r="S8" s="386">
        <v>60</v>
      </c>
      <c r="T8" s="386">
        <v>77.5</v>
      </c>
      <c r="U8" s="386">
        <v>65</v>
      </c>
      <c r="V8" s="373">
        <f t="shared" si="0"/>
        <v>63.55</v>
      </c>
      <c r="W8" s="373">
        <f t="shared" si="2"/>
        <v>63.55</v>
      </c>
      <c r="X8" s="251">
        <f t="shared" si="1"/>
        <v>6</v>
      </c>
    </row>
    <row r="9" spans="1:24" s="297" customFormat="1" ht="15">
      <c r="A9" s="356" t="s">
        <v>178</v>
      </c>
      <c r="B9" s="387">
        <v>40</v>
      </c>
      <c r="C9" s="386">
        <v>71</v>
      </c>
      <c r="D9" s="386">
        <v>77</v>
      </c>
      <c r="E9" s="385">
        <v>75</v>
      </c>
      <c r="F9" s="386">
        <v>47.5</v>
      </c>
      <c r="G9" s="385">
        <v>65.5</v>
      </c>
      <c r="H9" s="360"/>
      <c r="I9" s="386">
        <v>77.5</v>
      </c>
      <c r="J9" s="385">
        <v>46</v>
      </c>
      <c r="K9" s="385">
        <v>57.5</v>
      </c>
      <c r="L9" s="385">
        <v>61</v>
      </c>
      <c r="M9" s="385">
        <v>90</v>
      </c>
      <c r="N9" s="386">
        <v>58</v>
      </c>
      <c r="O9" s="386">
        <v>75</v>
      </c>
      <c r="P9" s="386">
        <v>77</v>
      </c>
      <c r="Q9" s="385">
        <v>60</v>
      </c>
      <c r="R9" s="386">
        <v>47</v>
      </c>
      <c r="S9" s="386">
        <v>66</v>
      </c>
      <c r="T9" s="386">
        <v>70</v>
      </c>
      <c r="U9" s="386">
        <v>67.5</v>
      </c>
      <c r="V9" s="373">
        <f t="shared" si="0"/>
        <v>64.65789473684211</v>
      </c>
      <c r="W9" s="373">
        <f t="shared" si="2"/>
        <v>64.65789473684211</v>
      </c>
      <c r="X9" s="251">
        <f t="shared" si="1"/>
        <v>5</v>
      </c>
    </row>
    <row r="10" spans="1:24" s="67" customFormat="1" ht="18.75" customHeight="1">
      <c r="A10" s="355" t="s">
        <v>179</v>
      </c>
      <c r="B10" s="387">
        <v>47.5</v>
      </c>
      <c r="C10" s="386">
        <v>56</v>
      </c>
      <c r="D10" s="386">
        <v>42</v>
      </c>
      <c r="E10" s="386">
        <v>53</v>
      </c>
      <c r="F10" s="386">
        <v>60</v>
      </c>
      <c r="G10" s="386">
        <v>46</v>
      </c>
      <c r="H10" s="386">
        <v>52.5</v>
      </c>
      <c r="I10" s="386">
        <v>62.5</v>
      </c>
      <c r="J10" s="386">
        <v>45</v>
      </c>
      <c r="K10" s="386">
        <v>52.5</v>
      </c>
      <c r="L10" s="386">
        <v>37</v>
      </c>
      <c r="M10" s="386">
        <v>65</v>
      </c>
      <c r="N10" s="386">
        <v>51</v>
      </c>
      <c r="O10" s="386">
        <v>32.5</v>
      </c>
      <c r="P10" s="386">
        <v>70</v>
      </c>
      <c r="Q10" s="360"/>
      <c r="R10" s="386">
        <v>26</v>
      </c>
      <c r="S10" s="386">
        <v>47</v>
      </c>
      <c r="T10" s="386">
        <v>87.5</v>
      </c>
      <c r="U10" s="386">
        <v>55</v>
      </c>
      <c r="V10" s="373">
        <f t="shared" si="0"/>
        <v>52</v>
      </c>
      <c r="W10" s="373">
        <f t="shared" si="2"/>
        <v>52</v>
      </c>
      <c r="X10" s="197">
        <f t="shared" si="1"/>
        <v>7</v>
      </c>
    </row>
    <row r="11" spans="1:24" s="67" customFormat="1" ht="15">
      <c r="A11" s="356" t="s">
        <v>180</v>
      </c>
      <c r="B11" s="386">
        <v>30</v>
      </c>
      <c r="C11" s="386">
        <v>26</v>
      </c>
      <c r="D11" s="386">
        <v>45</v>
      </c>
      <c r="E11" s="386">
        <v>38</v>
      </c>
      <c r="F11" s="386">
        <v>25</v>
      </c>
      <c r="G11" s="386">
        <v>40</v>
      </c>
      <c r="H11" s="386">
        <v>37.5</v>
      </c>
      <c r="I11" s="386">
        <v>27.5</v>
      </c>
      <c r="J11" s="386">
        <v>32</v>
      </c>
      <c r="K11" s="386">
        <v>37.5</v>
      </c>
      <c r="L11" s="386">
        <v>22</v>
      </c>
      <c r="M11" s="386">
        <v>30</v>
      </c>
      <c r="N11" s="386">
        <v>34</v>
      </c>
      <c r="O11" s="386">
        <v>22.5</v>
      </c>
      <c r="P11" s="386">
        <v>70</v>
      </c>
      <c r="Q11" s="360"/>
      <c r="R11" s="386">
        <v>27</v>
      </c>
      <c r="S11" s="386">
        <v>30</v>
      </c>
      <c r="T11" s="386">
        <v>62.5</v>
      </c>
      <c r="U11" s="386">
        <v>27.5</v>
      </c>
      <c r="V11" s="373">
        <f t="shared" si="0"/>
        <v>34.94736842105263</v>
      </c>
      <c r="W11" s="373">
        <f t="shared" si="2"/>
        <v>34.94736842105263</v>
      </c>
      <c r="X11" s="197">
        <f t="shared" si="1"/>
        <v>12</v>
      </c>
    </row>
    <row r="12" spans="1:24" s="297" customFormat="1" ht="15">
      <c r="A12" s="356" t="s">
        <v>181</v>
      </c>
      <c r="B12" s="386">
        <v>32.5</v>
      </c>
      <c r="C12" s="386">
        <v>50.5</v>
      </c>
      <c r="D12" s="386">
        <v>54</v>
      </c>
      <c r="E12" s="386">
        <v>59</v>
      </c>
      <c r="F12" s="386">
        <v>35</v>
      </c>
      <c r="G12" s="386">
        <v>55.5</v>
      </c>
      <c r="H12" s="386">
        <v>37.5</v>
      </c>
      <c r="I12" s="386">
        <v>45</v>
      </c>
      <c r="J12" s="386">
        <v>43</v>
      </c>
      <c r="K12" s="386">
        <v>32.5</v>
      </c>
      <c r="L12" s="386">
        <v>54</v>
      </c>
      <c r="M12" s="386">
        <v>62.5</v>
      </c>
      <c r="N12" s="386">
        <v>47</v>
      </c>
      <c r="O12" s="386">
        <v>32.5</v>
      </c>
      <c r="P12" s="386">
        <v>65</v>
      </c>
      <c r="Q12" s="360"/>
      <c r="R12" s="386">
        <v>31</v>
      </c>
      <c r="S12" s="386">
        <v>50</v>
      </c>
      <c r="T12" s="386">
        <v>70</v>
      </c>
      <c r="U12" s="386">
        <v>45</v>
      </c>
      <c r="V12" s="373">
        <f t="shared" si="0"/>
        <v>47.44736842105263</v>
      </c>
      <c r="W12" s="373">
        <f t="shared" si="2"/>
        <v>47.44736842105263</v>
      </c>
      <c r="X12" s="197">
        <f t="shared" si="1"/>
        <v>10</v>
      </c>
    </row>
    <row r="13" spans="1:24" s="67" customFormat="1" ht="15">
      <c r="A13" s="356" t="s">
        <v>226</v>
      </c>
      <c r="B13" s="386">
        <v>77.5</v>
      </c>
      <c r="C13" s="386">
        <v>82.5</v>
      </c>
      <c r="D13" s="386">
        <v>82</v>
      </c>
      <c r="E13" s="386">
        <v>81</v>
      </c>
      <c r="F13" s="386">
        <v>75</v>
      </c>
      <c r="G13" s="386">
        <v>80</v>
      </c>
      <c r="H13" s="386">
        <v>82.5</v>
      </c>
      <c r="I13" s="386">
        <v>65</v>
      </c>
      <c r="J13" s="386">
        <v>66</v>
      </c>
      <c r="K13" s="386">
        <v>52.5</v>
      </c>
      <c r="L13" s="386">
        <v>70</v>
      </c>
      <c r="M13" s="386">
        <v>95</v>
      </c>
      <c r="N13" s="386">
        <v>55</v>
      </c>
      <c r="O13" s="386">
        <v>75</v>
      </c>
      <c r="P13" s="386">
        <v>70</v>
      </c>
      <c r="Q13" s="360"/>
      <c r="R13" s="386">
        <v>48</v>
      </c>
      <c r="S13" s="386">
        <v>65</v>
      </c>
      <c r="T13" s="386">
        <v>100</v>
      </c>
      <c r="U13" s="386">
        <v>75</v>
      </c>
      <c r="V13" s="373">
        <f t="shared" si="0"/>
        <v>73.526315789473685</v>
      </c>
      <c r="W13" s="373">
        <f t="shared" si="2"/>
        <v>73.526315789473685</v>
      </c>
      <c r="X13" s="197">
        <f t="shared" si="1"/>
        <v>1</v>
      </c>
    </row>
    <row r="14" spans="1:24" s="175" customFormat="1" ht="15">
      <c r="A14" s="356" t="s">
        <v>183</v>
      </c>
      <c r="B14" s="388">
        <v>62.5</v>
      </c>
      <c r="C14" s="388">
        <v>71</v>
      </c>
      <c r="D14" s="388">
        <v>69</v>
      </c>
      <c r="E14" s="388">
        <v>64</v>
      </c>
      <c r="F14" s="388">
        <v>57.5</v>
      </c>
      <c r="G14" s="388">
        <v>87.5</v>
      </c>
      <c r="H14" s="388">
        <v>85</v>
      </c>
      <c r="I14" s="388">
        <v>62.5</v>
      </c>
      <c r="J14" s="388">
        <v>60</v>
      </c>
      <c r="K14" s="388">
        <v>77.5</v>
      </c>
      <c r="L14" s="388">
        <v>60</v>
      </c>
      <c r="M14" s="388">
        <v>80</v>
      </c>
      <c r="N14" s="388">
        <v>72</v>
      </c>
      <c r="O14" s="388">
        <v>87.5</v>
      </c>
      <c r="P14" s="388">
        <v>67</v>
      </c>
      <c r="Q14" s="361"/>
      <c r="R14" s="388">
        <v>42</v>
      </c>
      <c r="S14" s="388">
        <v>45</v>
      </c>
      <c r="T14" s="388">
        <v>97.5</v>
      </c>
      <c r="U14" s="388">
        <v>77.5</v>
      </c>
      <c r="V14" s="373">
        <f t="shared" si="0"/>
        <v>69.736842105263165</v>
      </c>
      <c r="W14" s="373">
        <f t="shared" si="2"/>
        <v>69.736842105263165</v>
      </c>
      <c r="X14" s="251">
        <f t="shared" si="1"/>
        <v>2</v>
      </c>
    </row>
    <row r="15" spans="1:24" s="175" customFormat="1" ht="15">
      <c r="A15" s="356" t="s">
        <v>184</v>
      </c>
      <c r="B15" s="388">
        <v>35</v>
      </c>
      <c r="C15" s="388">
        <v>38</v>
      </c>
      <c r="D15" s="388">
        <v>57</v>
      </c>
      <c r="E15" s="388">
        <v>71</v>
      </c>
      <c r="F15" s="388">
        <v>35</v>
      </c>
      <c r="G15" s="388">
        <v>68.5</v>
      </c>
      <c r="H15" s="388">
        <v>67.5</v>
      </c>
      <c r="I15" s="388">
        <v>40</v>
      </c>
      <c r="J15" s="388">
        <v>39</v>
      </c>
      <c r="K15" s="388">
        <v>67.5</v>
      </c>
      <c r="L15" s="388">
        <v>46</v>
      </c>
      <c r="M15" s="388">
        <v>50</v>
      </c>
      <c r="N15" s="388">
        <v>35</v>
      </c>
      <c r="O15" s="388">
        <v>37.5</v>
      </c>
      <c r="P15" s="388">
        <v>56</v>
      </c>
      <c r="Q15" s="361"/>
      <c r="R15" s="388">
        <v>33</v>
      </c>
      <c r="S15" s="388">
        <v>51</v>
      </c>
      <c r="T15" s="388">
        <v>65</v>
      </c>
      <c r="U15" s="388">
        <v>65</v>
      </c>
      <c r="V15" s="373">
        <f t="shared" si="0"/>
        <v>50.368421052631582</v>
      </c>
      <c r="W15" s="373">
        <f t="shared" si="2"/>
        <v>50.368421052631582</v>
      </c>
      <c r="X15" s="251">
        <f t="shared" si="1"/>
        <v>9</v>
      </c>
    </row>
    <row r="16" spans="1:24">
      <c r="V16" s="338"/>
      <c r="W16" s="218"/>
    </row>
    <row r="17" spans="22:23">
      <c r="V17" s="339"/>
      <c r="W17" s="351" t="s">
        <v>203</v>
      </c>
    </row>
  </sheetData>
  <phoneticPr fontId="22" type="noConversion"/>
  <printOptions gridLines="1"/>
  <pageMargins left="0.21" right="0.2" top="1" bottom="1" header="0.5" footer="0.5"/>
  <pageSetup scale="49" orientation="landscape" horizontalDpi="4294967294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workbookViewId="0">
      <selection activeCell="F17" sqref="F17"/>
    </sheetView>
  </sheetViews>
  <sheetFormatPr defaultRowHeight="12.75"/>
  <cols>
    <col min="1" max="1" width="39.5703125" customWidth="1"/>
    <col min="2" max="2" width="9.7109375" customWidth="1"/>
    <col min="3" max="3" width="10" customWidth="1"/>
    <col min="4" max="4" width="11.42578125" customWidth="1"/>
    <col min="5" max="5" width="11.28515625" customWidth="1"/>
    <col min="6" max="6" width="14.28515625" customWidth="1"/>
    <col min="7" max="7" width="12.7109375" customWidth="1"/>
    <col min="8" max="8" width="12.42578125" customWidth="1"/>
    <col min="9" max="9" width="11" customWidth="1"/>
  </cols>
  <sheetData>
    <row r="1" spans="1:8" ht="18.75">
      <c r="A1" s="7" t="s">
        <v>211</v>
      </c>
      <c r="B1" s="8"/>
      <c r="C1" s="6"/>
      <c r="D1" s="9"/>
      <c r="E1" s="69"/>
      <c r="F1" s="38"/>
      <c r="G1" s="6"/>
      <c r="H1" s="6"/>
    </row>
    <row r="2" spans="1:8" s="67" customFormat="1" ht="12.75" customHeight="1">
      <c r="A2" s="38"/>
      <c r="B2" s="38"/>
      <c r="C2" s="38"/>
      <c r="D2" s="202" t="s">
        <v>15</v>
      </c>
      <c r="E2" s="203">
        <f>MIN(D5:D16)</f>
        <v>8.4499999999999993</v>
      </c>
      <c r="F2" s="38" t="s">
        <v>16</v>
      </c>
      <c r="G2" s="38"/>
      <c r="H2" s="38"/>
    </row>
    <row r="3" spans="1:8">
      <c r="A3" s="224"/>
      <c r="B3" s="11"/>
      <c r="C3" s="12"/>
      <c r="D3" s="204" t="s">
        <v>87</v>
      </c>
      <c r="E3" s="205">
        <v>12</v>
      </c>
      <c r="F3" s="269" t="s">
        <v>16</v>
      </c>
      <c r="G3" s="6"/>
    </row>
    <row r="4" spans="1:8" ht="27" customHeight="1">
      <c r="A4" s="10"/>
      <c r="B4" s="39" t="s">
        <v>32</v>
      </c>
      <c r="C4" s="39" t="s">
        <v>33</v>
      </c>
      <c r="D4" s="39" t="s">
        <v>41</v>
      </c>
      <c r="E4" s="36" t="s">
        <v>9</v>
      </c>
      <c r="F4" s="5" t="s">
        <v>28</v>
      </c>
      <c r="G4" s="18"/>
      <c r="H4" s="36"/>
    </row>
    <row r="5" spans="1:8" ht="15">
      <c r="A5" s="349" t="s">
        <v>173</v>
      </c>
      <c r="B5" s="444">
        <v>10.33</v>
      </c>
      <c r="C5" s="318">
        <v>10.34</v>
      </c>
      <c r="D5" s="176">
        <f t="shared" ref="D5:D15" si="0">MIN(B5:C5)</f>
        <v>10.33</v>
      </c>
      <c r="E5" s="272">
        <f t="shared" ref="E5:E15" si="1">-$D$20*D5+$D$21</f>
        <v>23.521126760563362</v>
      </c>
      <c r="F5" s="5">
        <f>RANK(E5,$E$5:$E$16)</f>
        <v>9</v>
      </c>
      <c r="G5" s="18"/>
      <c r="H5" s="66"/>
    </row>
    <row r="6" spans="1:8" ht="15">
      <c r="A6" s="349" t="s">
        <v>174</v>
      </c>
      <c r="B6" s="444">
        <v>8.6199999999999992</v>
      </c>
      <c r="C6" s="444">
        <v>9.1</v>
      </c>
      <c r="D6" s="176">
        <f t="shared" si="0"/>
        <v>8.6199999999999992</v>
      </c>
      <c r="E6" s="272">
        <f t="shared" si="1"/>
        <v>47.605633802816897</v>
      </c>
      <c r="F6" s="5">
        <f t="shared" ref="F6:F15" si="2">RANK(E6,$E$5:$E$16)</f>
        <v>3</v>
      </c>
      <c r="G6" s="18"/>
      <c r="H6" s="66"/>
    </row>
    <row r="7" spans="1:8" ht="15">
      <c r="A7" s="349" t="s">
        <v>175</v>
      </c>
      <c r="B7" s="444">
        <v>8.8000000000000007</v>
      </c>
      <c r="C7" s="445">
        <v>8.6999999999999993</v>
      </c>
      <c r="D7" s="176">
        <f t="shared" si="0"/>
        <v>8.6999999999999993</v>
      </c>
      <c r="E7" s="272">
        <f t="shared" si="1"/>
        <v>46.478873239436609</v>
      </c>
      <c r="F7" s="5">
        <f t="shared" si="2"/>
        <v>4</v>
      </c>
      <c r="G7" s="18"/>
      <c r="H7" s="66"/>
    </row>
    <row r="8" spans="1:8" s="218" customFormat="1" ht="15">
      <c r="A8" s="355" t="s">
        <v>176</v>
      </c>
      <c r="B8" s="444"/>
      <c r="C8" s="444"/>
      <c r="D8" s="176"/>
      <c r="E8" s="272"/>
      <c r="F8" s="5"/>
      <c r="G8" s="254"/>
      <c r="H8" s="257"/>
    </row>
    <row r="9" spans="1:8" ht="15">
      <c r="A9" s="349" t="s">
        <v>177</v>
      </c>
      <c r="B9" s="444">
        <v>9.07</v>
      </c>
      <c r="C9" s="444">
        <v>10.25</v>
      </c>
      <c r="D9" s="176">
        <f t="shared" si="0"/>
        <v>9.07</v>
      </c>
      <c r="E9" s="272">
        <f t="shared" si="1"/>
        <v>41.267605633802802</v>
      </c>
      <c r="F9" s="5">
        <f t="shared" si="2"/>
        <v>5</v>
      </c>
      <c r="G9" s="18"/>
      <c r="H9" s="66"/>
    </row>
    <row r="10" spans="1:8" ht="15">
      <c r="A10" s="356" t="s">
        <v>178</v>
      </c>
      <c r="B10" s="444">
        <v>9.3699999999999992</v>
      </c>
      <c r="C10" s="444">
        <v>10</v>
      </c>
      <c r="D10" s="176">
        <f t="shared" si="0"/>
        <v>9.3699999999999992</v>
      </c>
      <c r="E10" s="272">
        <f t="shared" si="1"/>
        <v>37.042253521126753</v>
      </c>
      <c r="F10" s="5">
        <f t="shared" si="2"/>
        <v>6</v>
      </c>
      <c r="G10" s="18"/>
      <c r="H10" s="66"/>
    </row>
    <row r="11" spans="1:8" ht="15">
      <c r="A11" s="355" t="s">
        <v>179</v>
      </c>
      <c r="B11" s="444">
        <v>8.5500000000000007</v>
      </c>
      <c r="C11" s="444">
        <v>9.5</v>
      </c>
      <c r="D11" s="176">
        <f t="shared" si="0"/>
        <v>8.5500000000000007</v>
      </c>
      <c r="E11" s="272">
        <f t="shared" si="1"/>
        <v>48.591549295774627</v>
      </c>
      <c r="F11" s="5">
        <f t="shared" si="2"/>
        <v>2</v>
      </c>
      <c r="G11" s="18"/>
      <c r="H11" s="66"/>
    </row>
    <row r="12" spans="1:8" ht="15">
      <c r="A12" s="356" t="s">
        <v>180</v>
      </c>
      <c r="B12" s="444">
        <v>10.5</v>
      </c>
      <c r="C12" s="444">
        <v>10.72</v>
      </c>
      <c r="D12" s="176">
        <f t="shared" si="0"/>
        <v>10.5</v>
      </c>
      <c r="E12" s="272">
        <f t="shared" si="1"/>
        <v>21.126760563380259</v>
      </c>
      <c r="F12" s="5">
        <f t="shared" si="2"/>
        <v>10</v>
      </c>
      <c r="G12" s="18"/>
      <c r="H12" s="66"/>
    </row>
    <row r="13" spans="1:8" ht="15">
      <c r="A13" s="356" t="s">
        <v>181</v>
      </c>
      <c r="B13" s="444">
        <v>9.58</v>
      </c>
      <c r="C13" s="444">
        <v>10.29</v>
      </c>
      <c r="D13" s="176">
        <f t="shared" si="0"/>
        <v>9.58</v>
      </c>
      <c r="E13" s="272">
        <f t="shared" si="1"/>
        <v>34.084507042253506</v>
      </c>
      <c r="F13" s="5">
        <f t="shared" si="2"/>
        <v>8</v>
      </c>
      <c r="G13" s="18"/>
      <c r="H13" s="66"/>
    </row>
    <row r="14" spans="1:8" s="143" customFormat="1" ht="15">
      <c r="A14" s="356" t="s">
        <v>182</v>
      </c>
      <c r="B14" s="444">
        <v>9.9600000000000009</v>
      </c>
      <c r="C14" s="444">
        <v>9.5399999999999991</v>
      </c>
      <c r="D14" s="176">
        <f t="shared" si="0"/>
        <v>9.5399999999999991</v>
      </c>
      <c r="E14" s="272">
        <f t="shared" si="1"/>
        <v>34.64788732394365</v>
      </c>
      <c r="F14" s="5">
        <f t="shared" si="2"/>
        <v>7</v>
      </c>
      <c r="G14" s="144"/>
      <c r="H14" s="147"/>
    </row>
    <row r="15" spans="1:8" ht="15">
      <c r="A15" s="356" t="s">
        <v>183</v>
      </c>
      <c r="B15" s="444">
        <v>8.4499999999999993</v>
      </c>
      <c r="C15" s="444">
        <v>9.5399999999999991</v>
      </c>
      <c r="D15" s="176">
        <f t="shared" si="0"/>
        <v>8.4499999999999993</v>
      </c>
      <c r="E15" s="272">
        <f t="shared" si="1"/>
        <v>50</v>
      </c>
      <c r="F15" s="5">
        <f t="shared" si="2"/>
        <v>1</v>
      </c>
      <c r="G15" s="5"/>
      <c r="H15" s="2"/>
    </row>
    <row r="16" spans="1:8" ht="15">
      <c r="A16" s="356" t="s">
        <v>184</v>
      </c>
      <c r="B16" s="444"/>
      <c r="C16" s="318"/>
      <c r="D16" s="176"/>
      <c r="E16" s="272"/>
      <c r="F16" s="5"/>
      <c r="G16" s="18"/>
      <c r="H16" s="3"/>
    </row>
    <row r="17" spans="1:8">
      <c r="A17" s="24"/>
      <c r="B17" s="57"/>
      <c r="C17" s="57"/>
      <c r="D17" s="57"/>
      <c r="E17" s="18"/>
      <c r="F17" s="18"/>
      <c r="G17" s="18"/>
      <c r="H17" s="3"/>
    </row>
    <row r="18" spans="1:8">
      <c r="A18" s="24"/>
      <c r="B18" s="57"/>
      <c r="C18" s="138"/>
      <c r="D18" s="57"/>
      <c r="E18" s="18"/>
      <c r="F18" s="18"/>
      <c r="G18" s="18"/>
      <c r="H18" s="3"/>
    </row>
    <row r="19" spans="1:8">
      <c r="A19" s="24"/>
      <c r="B19" s="57"/>
      <c r="C19" s="284" t="s">
        <v>156</v>
      </c>
      <c r="D19" s="57"/>
      <c r="E19" s="18"/>
      <c r="F19" s="18"/>
      <c r="G19" s="18"/>
      <c r="H19" s="3"/>
    </row>
    <row r="20" spans="1:8">
      <c r="A20" s="24"/>
      <c r="B20" s="57"/>
      <c r="C20" s="342" t="s">
        <v>152</v>
      </c>
      <c r="D20" s="340">
        <f>50/(E3-E2)</f>
        <v>14.084507042253518</v>
      </c>
      <c r="E20" s="18"/>
      <c r="F20" s="18"/>
      <c r="G20" s="18"/>
      <c r="H20" s="3"/>
    </row>
    <row r="21" spans="1:8">
      <c r="A21" s="24"/>
      <c r="B21" s="57"/>
      <c r="C21" s="342" t="s">
        <v>153</v>
      </c>
      <c r="D21" s="341">
        <f>D20*E3</f>
        <v>169.01408450704221</v>
      </c>
      <c r="E21" s="18"/>
      <c r="F21" s="18"/>
      <c r="G21" s="18"/>
      <c r="H21" s="3"/>
    </row>
    <row r="22" spans="1:8">
      <c r="A22" s="24"/>
      <c r="B22" s="57"/>
      <c r="C22" s="57"/>
      <c r="D22" s="57"/>
      <c r="E22" s="18"/>
      <c r="F22" s="18"/>
      <c r="G22" s="18"/>
      <c r="H22" s="3"/>
    </row>
    <row r="23" spans="1:8">
      <c r="A23" s="24"/>
      <c r="B23" s="57"/>
      <c r="C23" s="57"/>
      <c r="D23" s="57"/>
      <c r="E23" s="18"/>
      <c r="F23" s="18"/>
      <c r="G23" s="18"/>
      <c r="H23" s="3"/>
    </row>
    <row r="24" spans="1:8">
      <c r="A24" s="24"/>
      <c r="B24" s="57"/>
      <c r="C24" s="57"/>
      <c r="D24" s="57"/>
      <c r="E24" s="18"/>
      <c r="F24" s="18"/>
      <c r="G24" s="18"/>
      <c r="H24" s="3"/>
    </row>
    <row r="25" spans="1:8">
      <c r="A25" s="24"/>
      <c r="B25" s="57"/>
      <c r="C25" s="57"/>
      <c r="D25" s="57"/>
      <c r="E25" s="18"/>
      <c r="F25" s="18"/>
      <c r="G25" s="18"/>
      <c r="H25" s="3"/>
    </row>
    <row r="26" spans="1:8">
      <c r="A26" s="24"/>
      <c r="B26" s="57"/>
      <c r="C26" s="57"/>
      <c r="D26" s="57"/>
      <c r="E26" s="18"/>
      <c r="F26" s="18"/>
      <c r="G26" s="18"/>
      <c r="H26" s="3"/>
    </row>
    <row r="27" spans="1:8">
      <c r="A27" s="24"/>
      <c r="B27" s="57"/>
      <c r="C27" s="57"/>
      <c r="D27" s="57"/>
      <c r="E27" s="18"/>
      <c r="F27" s="18"/>
      <c r="G27" s="18"/>
      <c r="H27" s="6"/>
    </row>
    <row r="28" spans="1:8">
      <c r="A28" s="24"/>
      <c r="B28" s="57"/>
      <c r="C28" s="57"/>
      <c r="D28" s="57"/>
      <c r="E28" s="18"/>
      <c r="F28" s="18"/>
      <c r="G28" s="18"/>
      <c r="H28" s="6"/>
    </row>
    <row r="29" spans="1:8">
      <c r="A29" s="12"/>
      <c r="B29" s="57"/>
      <c r="C29" s="57"/>
      <c r="D29" s="57"/>
      <c r="E29" s="18"/>
      <c r="F29" s="18"/>
      <c r="G29" s="18"/>
      <c r="H29" s="6"/>
    </row>
    <row r="30" spans="1:8">
      <c r="A30" s="12"/>
      <c r="B30" s="57"/>
      <c r="C30" s="57"/>
      <c r="D30" s="57"/>
      <c r="E30" s="18"/>
      <c r="F30" s="18"/>
      <c r="G30" s="18"/>
      <c r="H30" s="6"/>
    </row>
    <row r="31" spans="1:8">
      <c r="A31" s="12"/>
      <c r="B31" s="57"/>
      <c r="C31" s="57"/>
      <c r="D31" s="57"/>
      <c r="E31" s="18"/>
      <c r="F31" s="18"/>
      <c r="G31" s="18"/>
      <c r="H31" s="6"/>
    </row>
    <row r="32" spans="1:8">
      <c r="A32" s="51"/>
      <c r="B32" s="12"/>
      <c r="C32" s="12"/>
      <c r="D32" s="12"/>
      <c r="E32" s="6"/>
      <c r="F32" s="6"/>
      <c r="G32" s="6"/>
      <c r="H32" s="6"/>
    </row>
    <row r="33" spans="2:4">
      <c r="B33" s="4"/>
      <c r="C33" s="4"/>
      <c r="D33" s="4"/>
    </row>
    <row r="34" spans="2:4">
      <c r="B34" s="4"/>
      <c r="C34" s="4"/>
      <c r="D34" s="4"/>
    </row>
    <row r="35" spans="2:4">
      <c r="B35" s="4"/>
      <c r="C35" s="4"/>
      <c r="D35" s="4"/>
    </row>
    <row r="36" spans="2:4">
      <c r="B36" s="4"/>
      <c r="C36" s="4"/>
      <c r="D36" s="4"/>
    </row>
    <row r="37" spans="2:4">
      <c r="B37" s="4"/>
      <c r="C37" s="4"/>
      <c r="D37" s="4"/>
    </row>
    <row r="38" spans="2:4">
      <c r="B38" s="4"/>
      <c r="C38" s="4"/>
      <c r="D38" s="4"/>
    </row>
    <row r="39" spans="2:4">
      <c r="B39" s="4"/>
      <c r="C39" s="4"/>
      <c r="D39" s="4"/>
    </row>
    <row r="40" spans="2:4">
      <c r="B40" s="4"/>
      <c r="C40" s="4"/>
      <c r="D40" s="4"/>
    </row>
    <row r="41" spans="2:4">
      <c r="B41" s="4"/>
      <c r="C41" s="4"/>
      <c r="D41" s="4"/>
    </row>
    <row r="42" spans="2:4">
      <c r="B42" s="4"/>
      <c r="C42" s="4"/>
      <c r="D42" s="4"/>
    </row>
    <row r="43" spans="2:4">
      <c r="B43" s="4"/>
      <c r="C43" s="4"/>
      <c r="D43" s="4"/>
    </row>
    <row r="44" spans="2:4">
      <c r="B44" s="4"/>
      <c r="C44" s="4"/>
      <c r="D44" s="4"/>
    </row>
    <row r="45" spans="2:4">
      <c r="B45" s="4"/>
      <c r="C45" s="4"/>
      <c r="D45" s="4"/>
    </row>
    <row r="46" spans="2:4">
      <c r="B46" s="4"/>
      <c r="C46" s="4"/>
      <c r="D46" s="4"/>
    </row>
    <row r="47" spans="2:4">
      <c r="B47" s="4"/>
      <c r="C47" s="4"/>
      <c r="D47" s="4"/>
    </row>
    <row r="48" spans="2:4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</sheetData>
  <phoneticPr fontId="22" type="noConversion"/>
  <printOptions gridLines="1"/>
  <pageMargins left="0.75" right="0.75" top="0.5" bottom="0.5" header="0.5" footer="0.5"/>
  <pageSetup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 </vt:lpstr>
      <vt:lpstr>Noise</vt:lpstr>
      <vt:lpstr>Oral</vt:lpstr>
      <vt:lpstr>Acceleration</vt:lpstr>
      <vt:lpstr>Lab Emissions</vt:lpstr>
      <vt:lpstr>In Service Emissions</vt:lpstr>
      <vt:lpstr>Cold Start</vt:lpstr>
      <vt:lpstr>Objective Handling</vt:lpstr>
      <vt:lpstr>Penalties and Bonuses</vt:lpstr>
      <vt:lpstr>Vehicle Weights</vt:lpstr>
      <vt:lpstr>Bmax</vt:lpstr>
      <vt:lpstr>Bmin</vt:lpstr>
      <vt:lpstr>Emax</vt:lpstr>
      <vt:lpstr>Emin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Robert Baratono</cp:lastModifiedBy>
  <cp:lastPrinted>2012-03-11T15:23:34Z</cp:lastPrinted>
  <dcterms:created xsi:type="dcterms:W3CDTF">2000-03-12T02:15:03Z</dcterms:created>
  <dcterms:modified xsi:type="dcterms:W3CDTF">2012-03-20T15:31:19Z</dcterms:modified>
</cp:coreProperties>
</file>