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4020" windowWidth="19260" windowHeight="4080" tabRatio="920"/>
  </bookViews>
  <sheets>
    <sheet name="Totals and Awards" sheetId="13" r:id="rId1"/>
    <sheet name="Paper" sheetId="1" r:id="rId2"/>
    <sheet name="Static" sheetId="2" r:id="rId3"/>
    <sheet name="MSRP" sheetId="3" r:id="rId4"/>
    <sheet name="Subjective Handling " sheetId="14" r:id="rId5"/>
    <sheet name="Fuel Economy " sheetId="4" r:id="rId6"/>
    <sheet name="Noise" sheetId="6" r:id="rId7"/>
    <sheet name="Oral" sheetId="5" r:id="rId8"/>
    <sheet name="Acceleration" sheetId="7" r:id="rId9"/>
    <sheet name="Lab Emissions" sheetId="18" r:id="rId10"/>
    <sheet name="In Service Emissions" sheetId="19" r:id="rId11"/>
    <sheet name="Cold Start" sheetId="10" r:id="rId12"/>
    <sheet name="Objective Handling" sheetId="11" r:id="rId13"/>
    <sheet name="Penalties and Bonuses" sheetId="12" r:id="rId14"/>
    <sheet name="Vehicle Weights" sheetId="15" r:id="rId15"/>
  </sheets>
  <definedNames>
    <definedName name="Bmax">'Lab Emissions'!$N$19</definedName>
    <definedName name="Bmin">'Lab Emissions'!$N$18</definedName>
    <definedName name="Emax">'Lab Emissions'!$J$19</definedName>
    <definedName name="Emin">'Lab Emissions'!$J$18</definedName>
    <definedName name="_xlnm.Print_Area" localSheetId="0">'Totals and Awards'!$A$1:$O$59</definedName>
  </definedNames>
  <calcPr calcId="125725"/>
</workbook>
</file>

<file path=xl/calcChain.xml><?xml version="1.0" encoding="utf-8"?>
<calcChain xmlns="http://schemas.openxmlformats.org/spreadsheetml/2006/main">
  <c r="H5" i="15"/>
  <c r="H6"/>
  <c r="H7"/>
  <c r="H8"/>
  <c r="H10"/>
  <c r="H11"/>
  <c r="H13"/>
  <c r="H14"/>
  <c r="H15"/>
  <c r="H16"/>
  <c r="C7" i="19"/>
  <c r="C8"/>
  <c r="C10"/>
  <c r="C12"/>
  <c r="C16"/>
  <c r="C17"/>
  <c r="C18"/>
  <c r="E9" i="11" l="1"/>
  <c r="D9"/>
  <c r="B50" i="13"/>
  <c r="B43"/>
  <c r="B49"/>
  <c r="B55"/>
  <c r="B60"/>
  <c r="B53"/>
  <c r="B52"/>
  <c r="B51"/>
  <c r="B48"/>
  <c r="B47"/>
  <c r="B46"/>
  <c r="B45"/>
  <c r="B44"/>
  <c r="B42"/>
  <c r="B41"/>
  <c r="B40"/>
  <c r="B39"/>
  <c r="B38"/>
  <c r="B37"/>
  <c r="G4" l="1"/>
  <c r="E8"/>
  <c r="E9"/>
  <c r="E10"/>
  <c r="E11"/>
  <c r="E12"/>
  <c r="E13"/>
  <c r="O10" i="18"/>
  <c r="O11"/>
  <c r="O12"/>
  <c r="O13"/>
  <c r="O14"/>
  <c r="O15"/>
  <c r="O16"/>
  <c r="O17"/>
  <c r="O5"/>
  <c r="O6"/>
  <c r="O7"/>
  <c r="O8"/>
  <c r="J18"/>
  <c r="K6"/>
  <c r="R6" s="1"/>
  <c r="K10"/>
  <c r="R10" s="1"/>
  <c r="K11"/>
  <c r="R11" s="1"/>
  <c r="K12"/>
  <c r="R12" s="1"/>
  <c r="K13"/>
  <c r="R13" s="1"/>
  <c r="K14"/>
  <c r="R14" s="1"/>
  <c r="K17"/>
  <c r="R17" s="1"/>
  <c r="C7" i="10"/>
  <c r="E2" i="11"/>
  <c r="K7" i="13"/>
  <c r="K11"/>
  <c r="K12"/>
  <c r="K13"/>
  <c r="D6" i="7" l="1"/>
  <c r="D7"/>
  <c r="D8"/>
  <c r="D11"/>
  <c r="D15"/>
  <c r="D16"/>
  <c r="D17"/>
  <c r="G7" i="6"/>
  <c r="G8"/>
  <c r="G15"/>
  <c r="G5"/>
  <c r="F18"/>
  <c r="E9"/>
  <c r="E11"/>
  <c r="E13"/>
  <c r="D6"/>
  <c r="E6" s="1"/>
  <c r="D9"/>
  <c r="D10"/>
  <c r="E10" s="1"/>
  <c r="D11"/>
  <c r="D12"/>
  <c r="E12" s="1"/>
  <c r="D13"/>
  <c r="D14"/>
  <c r="D16"/>
  <c r="E16" s="1"/>
  <c r="D17"/>
  <c r="E17" s="1"/>
  <c r="C6"/>
  <c r="C7"/>
  <c r="C8"/>
  <c r="C9"/>
  <c r="C10"/>
  <c r="C11"/>
  <c r="C12"/>
  <c r="C13"/>
  <c r="C14"/>
  <c r="E14" s="1"/>
  <c r="C15"/>
  <c r="C16"/>
  <c r="C17"/>
  <c r="C5"/>
  <c r="L4" i="13"/>
  <c r="B12" l="1"/>
  <c r="B9"/>
  <c r="C4"/>
  <c r="C5"/>
  <c r="G5"/>
  <c r="C6"/>
  <c r="F6"/>
  <c r="G6"/>
  <c r="C7"/>
  <c r="G7"/>
  <c r="L7"/>
  <c r="M7"/>
  <c r="N7"/>
  <c r="C8"/>
  <c r="G8"/>
  <c r="I8"/>
  <c r="L8"/>
  <c r="M8"/>
  <c r="N9"/>
  <c r="C10"/>
  <c r="F10"/>
  <c r="G10"/>
  <c r="C11"/>
  <c r="G11"/>
  <c r="N11"/>
  <c r="I12"/>
  <c r="M12"/>
  <c r="N12"/>
  <c r="C13"/>
  <c r="G13"/>
  <c r="I13"/>
  <c r="L13"/>
  <c r="M13"/>
  <c r="C14"/>
  <c r="F14"/>
  <c r="G14"/>
  <c r="L14"/>
  <c r="C15"/>
  <c r="G15"/>
  <c r="C16"/>
  <c r="G16"/>
  <c r="I4" i="14" l="1"/>
  <c r="D9" i="4"/>
  <c r="D13"/>
  <c r="D17"/>
  <c r="D51" i="1" l="1"/>
  <c r="E51"/>
  <c r="F51"/>
  <c r="G51"/>
  <c r="H51"/>
  <c r="I51"/>
  <c r="J51"/>
  <c r="K51"/>
  <c r="L51"/>
  <c r="M51"/>
  <c r="N51"/>
  <c r="O51"/>
  <c r="C51"/>
  <c r="Y5" i="5"/>
  <c r="Y6"/>
  <c r="Y7"/>
  <c r="Y8"/>
  <c r="Y10"/>
  <c r="Y11"/>
  <c r="Y13"/>
  <c r="Y14"/>
  <c r="Y15"/>
  <c r="Y16"/>
  <c r="X18"/>
  <c r="X17"/>
  <c r="X5"/>
  <c r="X6"/>
  <c r="X7"/>
  <c r="X8"/>
  <c r="X10"/>
  <c r="X11"/>
  <c r="X13"/>
  <c r="X14"/>
  <c r="X15"/>
  <c r="X16"/>
  <c r="D52" i="1"/>
  <c r="E52"/>
  <c r="F52"/>
  <c r="G52"/>
  <c r="I52"/>
  <c r="J52"/>
  <c r="L52"/>
  <c r="M52"/>
  <c r="N52"/>
  <c r="O52"/>
  <c r="C52"/>
  <c r="P18"/>
  <c r="P19"/>
  <c r="P22"/>
  <c r="P23"/>
  <c r="P29"/>
  <c r="P30"/>
  <c r="P31"/>
  <c r="P32"/>
  <c r="P33"/>
  <c r="P34"/>
  <c r="P35"/>
  <c r="P36"/>
  <c r="P37"/>
  <c r="P40"/>
  <c r="P41"/>
  <c r="P42"/>
  <c r="P43"/>
  <c r="P44"/>
  <c r="P45"/>
  <c r="P46"/>
  <c r="P47"/>
  <c r="P48"/>
  <c r="P49"/>
  <c r="P50"/>
  <c r="P12"/>
  <c r="P13"/>
  <c r="P14"/>
  <c r="P5"/>
  <c r="P6"/>
  <c r="P11"/>
  <c r="T53" l="1"/>
  <c r="T52"/>
  <c r="C53" s="1"/>
  <c r="B4" i="13" s="1"/>
  <c r="P52" i="1"/>
  <c r="F53" l="1"/>
  <c r="B7" i="13" s="1"/>
  <c r="L53" i="1"/>
  <c r="B13" i="13" s="1"/>
  <c r="E53" i="1"/>
  <c r="B6" i="13" s="1"/>
  <c r="G53" i="1"/>
  <c r="B8" i="13" s="1"/>
  <c r="J53" i="1"/>
  <c r="B11" i="13" s="1"/>
  <c r="M53" i="1"/>
  <c r="B14" i="13" s="1"/>
  <c r="O53" i="1"/>
  <c r="B16" i="13" s="1"/>
  <c r="D53" i="1"/>
  <c r="B5" i="13" s="1"/>
  <c r="I53" i="1"/>
  <c r="B10" i="13" s="1"/>
  <c r="N53" i="1"/>
  <c r="B15" i="13" s="1"/>
  <c r="L19" i="3"/>
  <c r="O19" s="1"/>
  <c r="N19"/>
  <c r="L18"/>
  <c r="O18" s="1"/>
  <c r="N18"/>
  <c r="L17"/>
  <c r="O17" s="1"/>
  <c r="N17"/>
  <c r="L16"/>
  <c r="O16" s="1"/>
  <c r="N16"/>
  <c r="L14"/>
  <c r="O14" s="1"/>
  <c r="N14"/>
  <c r="L13"/>
  <c r="O13" s="1"/>
  <c r="N13"/>
  <c r="L11"/>
  <c r="O11" s="1"/>
  <c r="N11"/>
  <c r="L10"/>
  <c r="O10" s="1"/>
  <c r="N10"/>
  <c r="L9"/>
  <c r="O9" s="1"/>
  <c r="N9"/>
  <c r="L8"/>
  <c r="N8"/>
  <c r="L7"/>
  <c r="O7" s="1"/>
  <c r="N7"/>
  <c r="C2" i="6" l="1"/>
  <c r="O11" i="13"/>
  <c r="J19" i="18"/>
  <c r="H4" i="15"/>
  <c r="P9" i="1"/>
  <c r="P7"/>
  <c r="P8"/>
  <c r="P10"/>
  <c r="P15"/>
  <c r="P16"/>
  <c r="P17"/>
  <c r="P20"/>
  <c r="P21"/>
  <c r="P24"/>
  <c r="P25"/>
  <c r="P26"/>
  <c r="P27"/>
  <c r="P28"/>
  <c r="N19" i="18"/>
  <c r="O9" s="1"/>
  <c r="N18"/>
  <c r="K5"/>
  <c r="R5" s="1"/>
  <c r="D12" i="11"/>
  <c r="D16"/>
  <c r="D17"/>
  <c r="D18"/>
  <c r="E3" i="4"/>
  <c r="E2"/>
  <c r="I14" i="14"/>
  <c r="I15"/>
  <c r="I16"/>
  <c r="O4" i="13"/>
  <c r="O5"/>
  <c r="O6"/>
  <c r="O7"/>
  <c r="O8"/>
  <c r="O9"/>
  <c r="O10"/>
  <c r="O12"/>
  <c r="O13"/>
  <c r="O14"/>
  <c r="O15"/>
  <c r="O16"/>
  <c r="C15" i="10"/>
  <c r="L15" i="13" s="1"/>
  <c r="F2" i="19"/>
  <c r="F1"/>
  <c r="F19" i="6"/>
  <c r="I5" i="14"/>
  <c r="I6"/>
  <c r="I7"/>
  <c r="D5" i="7"/>
  <c r="X4" i="5"/>
  <c r="D6" i="11"/>
  <c r="D7"/>
  <c r="D8"/>
  <c r="C5" i="10"/>
  <c r="L5" i="13" s="1"/>
  <c r="C6" i="10"/>
  <c r="L6" i="13" s="1"/>
  <c r="L9"/>
  <c r="C10" i="10"/>
  <c r="L10" i="13" s="1"/>
  <c r="L11"/>
  <c r="L12"/>
  <c r="C16" i="10"/>
  <c r="L16" i="13" s="1"/>
  <c r="C4" i="10"/>
  <c r="F1" i="15"/>
  <c r="J5" i="12"/>
  <c r="N5" i="13" s="1"/>
  <c r="J6" i="12"/>
  <c r="N6" i="13" s="1"/>
  <c r="J7" i="12"/>
  <c r="J8"/>
  <c r="N8" i="13" s="1"/>
  <c r="J9" i="12"/>
  <c r="J10"/>
  <c r="N10" i="13" s="1"/>
  <c r="J11" i="12"/>
  <c r="J12"/>
  <c r="J13"/>
  <c r="N13" i="13" s="1"/>
  <c r="J14" i="12"/>
  <c r="N14" i="13" s="1"/>
  <c r="J15" i="12"/>
  <c r="N15" i="13" s="1"/>
  <c r="J16" i="12"/>
  <c r="N16" i="13" s="1"/>
  <c r="J4" i="12"/>
  <c r="N4" i="13" s="1"/>
  <c r="F2" i="15"/>
  <c r="K7" i="18" l="1"/>
  <c r="K9"/>
  <c r="K8"/>
  <c r="R8" s="1"/>
  <c r="K16"/>
  <c r="R16" s="1"/>
  <c r="K15"/>
  <c r="R15" s="1"/>
  <c r="J12" i="13"/>
  <c r="D8" i="6"/>
  <c r="E8" s="1"/>
  <c r="D5"/>
  <c r="E5" s="1"/>
  <c r="H5" s="1"/>
  <c r="H4" i="13" s="1"/>
  <c r="D21" s="1"/>
  <c r="D7" i="6"/>
  <c r="E7" s="1"/>
  <c r="D15"/>
  <c r="E15" s="1"/>
  <c r="H15" s="1"/>
  <c r="H14" i="13" s="1"/>
  <c r="D31" s="1"/>
  <c r="E9" i="4"/>
  <c r="E17"/>
  <c r="E13"/>
  <c r="J4" i="13"/>
  <c r="H10"/>
  <c r="H13" i="6"/>
  <c r="H12" i="13" s="1"/>
  <c r="H16"/>
  <c r="H5"/>
  <c r="H9"/>
  <c r="H11"/>
  <c r="H13"/>
  <c r="H15"/>
  <c r="J10"/>
  <c r="J11"/>
  <c r="J13"/>
  <c r="J5"/>
  <c r="J7"/>
  <c r="J9"/>
  <c r="P17" i="18"/>
  <c r="J14" i="13"/>
  <c r="E3" i="7"/>
  <c r="E2"/>
  <c r="H7" i="6"/>
  <c r="H6" i="13" s="1"/>
  <c r="D23" s="1"/>
  <c r="J1" i="14"/>
  <c r="J2"/>
  <c r="L6" i="18"/>
  <c r="J2" i="19"/>
  <c r="C6"/>
  <c r="J1"/>
  <c r="E3" i="11"/>
  <c r="K8" i="13" l="1"/>
  <c r="K10" i="19"/>
  <c r="K17"/>
  <c r="K15" i="13"/>
  <c r="K14"/>
  <c r="K16" i="19"/>
  <c r="K7"/>
  <c r="K5" i="13"/>
  <c r="K8" i="19"/>
  <c r="K6" i="13"/>
  <c r="D12" i="19"/>
  <c r="K12"/>
  <c r="K10" i="13"/>
  <c r="K6" i="19"/>
  <c r="K4" i="13"/>
  <c r="K18" i="19"/>
  <c r="K16" i="13"/>
  <c r="J6"/>
  <c r="R7" i="18"/>
  <c r="J8" i="13"/>
  <c r="R9" i="18"/>
  <c r="L13"/>
  <c r="L15"/>
  <c r="L5"/>
  <c r="L9"/>
  <c r="L10"/>
  <c r="L17"/>
  <c r="L11"/>
  <c r="L8"/>
  <c r="L14"/>
  <c r="J15" i="13"/>
  <c r="P11" i="18"/>
  <c r="P9"/>
  <c r="P8"/>
  <c r="P6"/>
  <c r="J16" i="13"/>
  <c r="D10" i="19"/>
  <c r="D16"/>
  <c r="D17"/>
  <c r="D7"/>
  <c r="D8"/>
  <c r="E6" i="7"/>
  <c r="I5" i="13" s="1"/>
  <c r="E8" i="7"/>
  <c r="E15"/>
  <c r="E7"/>
  <c r="E11"/>
  <c r="E16"/>
  <c r="E17"/>
  <c r="J16" i="14"/>
  <c r="E16" i="13" s="1"/>
  <c r="F17" i="4"/>
  <c r="F13"/>
  <c r="F9"/>
  <c r="P15" i="18"/>
  <c r="P13"/>
  <c r="H8" i="13"/>
  <c r="H8" i="6"/>
  <c r="H7" i="13" s="1"/>
  <c r="D24" s="1"/>
  <c r="P12" i="18"/>
  <c r="P7"/>
  <c r="P14"/>
  <c r="P10"/>
  <c r="L7"/>
  <c r="P16"/>
  <c r="L16"/>
  <c r="L12"/>
  <c r="L18"/>
  <c r="P5"/>
  <c r="M9" i="13"/>
  <c r="M11"/>
  <c r="E17" i="11"/>
  <c r="M15" i="13" s="1"/>
  <c r="E12" i="11"/>
  <c r="M10" i="13" s="1"/>
  <c r="E16" i="11"/>
  <c r="M14" i="13" s="1"/>
  <c r="E18" i="11"/>
  <c r="M16" i="13" s="1"/>
  <c r="I11"/>
  <c r="B28" s="1"/>
  <c r="I15"/>
  <c r="E5" i="7"/>
  <c r="I10" i="13"/>
  <c r="I16"/>
  <c r="B30"/>
  <c r="I15" i="6"/>
  <c r="J5" i="14"/>
  <c r="E5" i="13" s="1"/>
  <c r="J15" i="14"/>
  <c r="E15" i="13" s="1"/>
  <c r="E32" s="1"/>
  <c r="J14" i="14"/>
  <c r="E14" i="13" s="1"/>
  <c r="J7" i="14"/>
  <c r="E7" i="13" s="1"/>
  <c r="J6" i="14"/>
  <c r="E6" i="13" s="1"/>
  <c r="J4" i="14"/>
  <c r="E4" i="13" s="1"/>
  <c r="Y4" i="5"/>
  <c r="D6" i="19"/>
  <c r="E7" i="11"/>
  <c r="M5" i="13" s="1"/>
  <c r="E8" i="11"/>
  <c r="M6" i="13" s="1"/>
  <c r="E6" i="11"/>
  <c r="M4" i="13" s="1"/>
  <c r="I5" i="6"/>
  <c r="G25" i="13" l="1"/>
  <c r="E33"/>
  <c r="G33"/>
  <c r="E22"/>
  <c r="G22"/>
  <c r="E24"/>
  <c r="K16" i="14"/>
  <c r="E21" i="13"/>
  <c r="K14" i="14"/>
  <c r="F8" i="7"/>
  <c r="I7" i="13"/>
  <c r="F24" s="1"/>
  <c r="F11" i="7"/>
  <c r="F15"/>
  <c r="I14" i="13"/>
  <c r="F31" s="1"/>
  <c r="F16" i="7"/>
  <c r="F7"/>
  <c r="I6" i="13"/>
  <c r="F23" s="1"/>
  <c r="F17" i="7"/>
  <c r="F6"/>
  <c r="I4" i="13"/>
  <c r="F21" s="1"/>
  <c r="I9"/>
  <c r="C26" s="1"/>
  <c r="K7" i="14"/>
  <c r="K15"/>
  <c r="K5"/>
  <c r="B25" i="13"/>
  <c r="C25"/>
  <c r="C32"/>
  <c r="C28"/>
  <c r="C22"/>
  <c r="C30"/>
  <c r="F8" i="11"/>
  <c r="F18"/>
  <c r="F17"/>
  <c r="F9"/>
  <c r="F6"/>
  <c r="F7"/>
  <c r="F14"/>
  <c r="F16"/>
  <c r="E31" i="13"/>
  <c r="F15" i="11"/>
  <c r="F12"/>
  <c r="F5" i="7"/>
  <c r="C27" i="13"/>
  <c r="B29"/>
  <c r="B33"/>
  <c r="I7" i="6"/>
  <c r="I8"/>
  <c r="K4" i="14"/>
  <c r="K6"/>
  <c r="Z7" i="5"/>
  <c r="Z4"/>
  <c r="Z10"/>
  <c r="Z15"/>
  <c r="Z6"/>
  <c r="Z13"/>
  <c r="Z5"/>
  <c r="Z11"/>
  <c r="Z16"/>
  <c r="Z8"/>
  <c r="Z14"/>
  <c r="J16" i="19"/>
  <c r="J7"/>
  <c r="J8"/>
  <c r="J17"/>
  <c r="J6"/>
  <c r="J12"/>
  <c r="E23" i="13"/>
  <c r="B26" l="1"/>
  <c r="C23"/>
  <c r="G24"/>
  <c r="C21"/>
  <c r="B32"/>
  <c r="B23"/>
  <c r="G26"/>
  <c r="G30"/>
  <c r="C31"/>
  <c r="G32"/>
  <c r="B22"/>
  <c r="B31"/>
  <c r="G31"/>
  <c r="C33"/>
  <c r="B24"/>
  <c r="C24"/>
  <c r="C29"/>
  <c r="B27"/>
  <c r="G23"/>
  <c r="G28"/>
  <c r="G29"/>
  <c r="B21"/>
  <c r="G27"/>
  <c r="G21"/>
  <c r="H25" l="1"/>
  <c r="H24"/>
  <c r="H31"/>
  <c r="H32"/>
  <c r="H21"/>
  <c r="H33"/>
  <c r="H22"/>
  <c r="H29"/>
  <c r="H28"/>
  <c r="H27"/>
  <c r="H23"/>
  <c r="H26"/>
  <c r="H30"/>
</calcChain>
</file>

<file path=xl/sharedStrings.xml><?xml version="1.0" encoding="utf-8"?>
<sst xmlns="http://schemas.openxmlformats.org/spreadsheetml/2006/main" count="812" uniqueCount="317">
  <si>
    <t xml:space="preserve">Gmax = </t>
  </si>
  <si>
    <t>Gmin =</t>
  </si>
  <si>
    <t>Emissions</t>
  </si>
  <si>
    <t>Handling</t>
  </si>
  <si>
    <t>Oral</t>
  </si>
  <si>
    <t>Static</t>
  </si>
  <si>
    <t>Paper</t>
  </si>
  <si>
    <t>Late Paper</t>
  </si>
  <si>
    <t>Safety Violation</t>
  </si>
  <si>
    <t>POINTS</t>
  </si>
  <si>
    <t>Fuel Economy (MPG)</t>
  </si>
  <si>
    <t>gallons</t>
  </si>
  <si>
    <t>miles</t>
  </si>
  <si>
    <t>Distance=</t>
  </si>
  <si>
    <t>SCORE</t>
  </si>
  <si>
    <t>Tmin=</t>
  </si>
  <si>
    <t>sec</t>
  </si>
  <si>
    <t>Result (PASS/FAIL)</t>
  </si>
  <si>
    <t>Performance</t>
  </si>
  <si>
    <t>Best</t>
  </si>
  <si>
    <t>Points</t>
  </si>
  <si>
    <t>Design</t>
  </si>
  <si>
    <t>Most</t>
  </si>
  <si>
    <t>Practical</t>
  </si>
  <si>
    <t>Value</t>
  </si>
  <si>
    <t>TOTAL</t>
  </si>
  <si>
    <t>RANK</t>
  </si>
  <si>
    <t>FINAL</t>
  </si>
  <si>
    <t>Ordinal</t>
  </si>
  <si>
    <t>(Max gallons used of finishing teams)</t>
  </si>
  <si>
    <t>(Min gallons used of finishing teams)</t>
  </si>
  <si>
    <t>(Course distance)</t>
  </si>
  <si>
    <t>Run1 Time (s)</t>
  </si>
  <si>
    <t>Run2 Time (s)</t>
  </si>
  <si>
    <t>Run1 Lap Time (s)</t>
  </si>
  <si>
    <t>Run2 Lap Time (s)</t>
  </si>
  <si>
    <t>Minimum Lap Time (s)</t>
  </si>
  <si>
    <t>Tmax =</t>
  </si>
  <si>
    <t>Tmin =</t>
  </si>
  <si>
    <t>Noise</t>
  </si>
  <si>
    <t>Acceleration</t>
  </si>
  <si>
    <t>Best Time (s)</t>
  </si>
  <si>
    <t>Fuel Type</t>
  </si>
  <si>
    <t>Late Oral</t>
  </si>
  <si>
    <t>Fuel</t>
  </si>
  <si>
    <t>Economy</t>
  </si>
  <si>
    <t>Cold</t>
  </si>
  <si>
    <t>Start</t>
  </si>
  <si>
    <t xml:space="preserve"> </t>
  </si>
  <si>
    <t>Objective</t>
  </si>
  <si>
    <t>Display</t>
  </si>
  <si>
    <t>Subjective</t>
  </si>
  <si>
    <t>Ride</t>
  </si>
  <si>
    <t>Comments</t>
  </si>
  <si>
    <t>Actual
Gallons
Consumed</t>
  </si>
  <si>
    <t>J192 Level</t>
  </si>
  <si>
    <t>Score</t>
  </si>
  <si>
    <t>Late Design 
Write-up/Fuel Selection</t>
  </si>
  <si>
    <t>Front Left</t>
  </si>
  <si>
    <t>Front Right</t>
  </si>
  <si>
    <t>Rear</t>
  </si>
  <si>
    <t>PASS</t>
  </si>
  <si>
    <t>Wmin=</t>
  </si>
  <si>
    <t>Wmax=</t>
  </si>
  <si>
    <t>pounds</t>
  </si>
  <si>
    <t>Total</t>
  </si>
  <si>
    <t>Late MSRP</t>
  </si>
  <si>
    <t>Bonus for No Maintenance</t>
  </si>
  <si>
    <t>Maintenance
or
Design</t>
  </si>
  <si>
    <t>Bonuses</t>
  </si>
  <si>
    <t>Penalties/</t>
  </si>
  <si>
    <t>Miles
 Completed</t>
  </si>
  <si>
    <t>MSRP</t>
  </si>
  <si>
    <t>Second Place Winner Overall (YNP)</t>
  </si>
  <si>
    <t>Fifth Place Winner Overall (SAEM)</t>
  </si>
  <si>
    <t>Best Ride Winner (Denso)</t>
  </si>
  <si>
    <t>Best Design Winner (SAE)</t>
  </si>
  <si>
    <t>Best Fuel Economy Winner (Gage)</t>
  </si>
  <si>
    <t>Quietest Snowmobile Winner (PCB)</t>
  </si>
  <si>
    <t>Most Practical Winner (BRC)</t>
  </si>
  <si>
    <t>Best Value Winner (EMITEC)</t>
  </si>
  <si>
    <t>Best Performance Winner (L&amp;S)</t>
  </si>
  <si>
    <t>Best Handling (Polaris)</t>
  </si>
  <si>
    <t>Team
Number</t>
  </si>
  <si>
    <t>Class</t>
  </si>
  <si>
    <t>IC</t>
  </si>
  <si>
    <t>WrittenPaper
Judges</t>
  </si>
  <si>
    <t>Average</t>
  </si>
  <si>
    <t>Maximum</t>
  </si>
  <si>
    <t>min</t>
  </si>
  <si>
    <t>max</t>
  </si>
  <si>
    <t>Passing J192</t>
  </si>
  <si>
    <t>Incremental</t>
  </si>
  <si>
    <t>Minimum</t>
  </si>
  <si>
    <t>Total J192 Score</t>
  </si>
  <si>
    <t>Best Acceleration (Woody's)</t>
  </si>
  <si>
    <t>Subjective Points</t>
  </si>
  <si>
    <t>Total Noise</t>
  </si>
  <si>
    <t>First Place Winner Overall (ISMA)</t>
  </si>
  <si>
    <t>Max =</t>
  </si>
  <si>
    <t>Min=</t>
  </si>
  <si>
    <t xml:space="preserve"> Rank</t>
  </si>
  <si>
    <t>Min noise rank =</t>
  </si>
  <si>
    <t>Max noise rank =</t>
  </si>
  <si>
    <t>Tmax=</t>
  </si>
  <si>
    <t>Third Place Winner Overall (ACSA)</t>
  </si>
  <si>
    <t xml:space="preserve">  </t>
  </si>
  <si>
    <t>Lab Emissions</t>
  </si>
  <si>
    <t>In Service</t>
  </si>
  <si>
    <t>Sokop</t>
  </si>
  <si>
    <t>Elzinger</t>
  </si>
  <si>
    <t>Notes: Penalties included in times</t>
  </si>
  <si>
    <t>Inspection
 Penalty</t>
  </si>
  <si>
    <t>Ranking</t>
  </si>
  <si>
    <t>HC+CO+Nox</t>
  </si>
  <si>
    <t>CSC Points</t>
  </si>
  <si>
    <t>Best Emissions Winner (AVL)</t>
  </si>
  <si>
    <t>Lowest "In Service" Emissions (Sensors)</t>
  </si>
  <si>
    <t>Simulation Driver-Design Award (Altair)</t>
  </si>
  <si>
    <t>FINAL EMISSIONS (grams/mile)</t>
  </si>
  <si>
    <t>#1Univ of Wisconsin - Madison</t>
  </si>
  <si>
    <t>#2Michigan Tech Univ</t>
  </si>
  <si>
    <t>#3Univ of Idaho</t>
  </si>
  <si>
    <t>#7Univ of Wisconsin - Platteville</t>
  </si>
  <si>
    <t>#10Northern Illinois Univ</t>
  </si>
  <si>
    <t>No points for</t>
  </si>
  <si>
    <t>Weight</t>
  </si>
  <si>
    <t>Brandon Peeler</t>
  </si>
  <si>
    <t>Richard Frazee</t>
  </si>
  <si>
    <t>Fuel consumed</t>
  </si>
  <si>
    <t>BSFC +</t>
  </si>
  <si>
    <t>Fuel Economy +</t>
  </si>
  <si>
    <t>LAB EMISSION RESULTS</t>
  </si>
  <si>
    <t>BSFC RESULTS</t>
  </si>
  <si>
    <t>Must PASS Lab Emission Test</t>
  </si>
  <si>
    <t>Must Complete 5 Modes</t>
  </si>
  <si>
    <t>TEAM</t>
  </si>
  <si>
    <t>Maximum
Horsepower
&lt; 130</t>
  </si>
  <si>
    <t>Completed 5 Modes</t>
  </si>
  <si>
    <t>CO
&lt; 275</t>
  </si>
  <si>
    <t>HC + NOx
&lt; 90</t>
  </si>
  <si>
    <t>E Score
&gt; 100</t>
  </si>
  <si>
    <t>Soot
&lt; 0.05</t>
  </si>
  <si>
    <t>Lab Emission Test</t>
  </si>
  <si>
    <t>Passing
E Scores</t>
  </si>
  <si>
    <t>Lab Emission Points</t>
  </si>
  <si>
    <t>Lab EmissionRanking</t>
  </si>
  <si>
    <t>Weighted BSFC</t>
  </si>
  <si>
    <t>FAIL</t>
  </si>
  <si>
    <t>Teams exceeding 130 HP during the Power Sweep will not be allowed to continue</t>
  </si>
  <si>
    <t>Must PASS "Lab Emission Test" to score "Lab Emission Points"</t>
  </si>
  <si>
    <t>Must PASS "Completed 5 Modes" to score "BSCF points", but do not have to PASS the "Lab Emission Test"</t>
  </si>
  <si>
    <t>Min Emissions</t>
  </si>
  <si>
    <t>Max Emission</t>
  </si>
  <si>
    <t>Min Fuel Economy</t>
  </si>
  <si>
    <t>Max Fuel Economy</t>
  </si>
  <si>
    <t>BSFC Points</t>
  </si>
  <si>
    <t>Most Improved (Aristo)</t>
  </si>
  <si>
    <t>Rookie of the Challenge (KRC)</t>
  </si>
  <si>
    <t>SAE CSC2011 Final Score Internal Combustion Class</t>
  </si>
  <si>
    <t>#4SUNY Buffalo</t>
  </si>
  <si>
    <t>#5Kettering</t>
  </si>
  <si>
    <t>#6North Dakota State Univ</t>
  </si>
  <si>
    <t xml:space="preserve">#9Univ of Waterloo </t>
  </si>
  <si>
    <t xml:space="preserve">#11Univ of Maine </t>
  </si>
  <si>
    <t xml:space="preserve">#12Clarkson University </t>
  </si>
  <si>
    <t xml:space="preserve">#13Univ of Alaska - Fairbanks </t>
  </si>
  <si>
    <t xml:space="preserve">#14Ecole De Technologie Superieure </t>
  </si>
  <si>
    <r>
      <rPr>
        <b/>
        <sz val="10.7"/>
        <rFont val="Calibri"/>
        <family val="2"/>
        <scheme val="minor"/>
      </rPr>
      <t xml:space="preserve">Barry Tippet </t>
    </r>
    <r>
      <rPr>
        <sz val="11"/>
        <rFont val="Calibri"/>
        <family val="2"/>
        <scheme val="minor"/>
      </rPr>
      <t xml:space="preserve"> </t>
    </r>
  </si>
  <si>
    <t>Ben Stayer</t>
  </si>
  <si>
    <r>
      <rPr>
        <b/>
        <sz val="10.7"/>
        <rFont val="Calibri"/>
        <family val="2"/>
        <scheme val="minor"/>
      </rPr>
      <t xml:space="preserve">Bill Myers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</si>
  <si>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Bob Bonneau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</si>
  <si>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Daniel Nehmer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</si>
  <si>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Dave Schmueser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</si>
  <si>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David T. Montgomery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</si>
  <si>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Donald. R. Elzinga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</si>
  <si>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Doug Kowalski </t>
    </r>
    <r>
      <rPr>
        <sz val="11"/>
        <rFont val="Calibri"/>
        <family val="2"/>
        <scheme val="minor"/>
      </rPr>
      <t xml:space="preserve"> </t>
    </r>
  </si>
  <si>
    <t>Eero Teene</t>
  </si>
  <si>
    <r>
      <rPr>
        <b/>
        <sz val="10.7"/>
        <rFont val="Calibri"/>
        <family val="2"/>
        <scheme val="minor"/>
      </rPr>
      <t xml:space="preserve">Howard Haines </t>
    </r>
    <r>
      <rPr>
        <sz val="11"/>
        <rFont val="Calibri"/>
        <family val="2"/>
        <scheme val="minor"/>
      </rPr>
      <t xml:space="preserve"> </t>
    </r>
  </si>
  <si>
    <t>Hugh Blaxill</t>
  </si>
  <si>
    <r>
      <rPr>
        <b/>
        <sz val="10.7"/>
        <rFont val="Calibri"/>
        <family val="2"/>
        <scheme val="minor"/>
      </rPr>
      <t xml:space="preserve">Hung-Li Chang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</si>
  <si>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Jim Ryan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</si>
  <si>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John Katnik </t>
    </r>
    <r>
      <rPr>
        <sz val="11"/>
        <rFont val="Calibri"/>
        <family val="2"/>
        <scheme val="minor"/>
      </rPr>
      <t xml:space="preserve"> </t>
    </r>
  </si>
  <si>
    <t>John Sacklin</t>
  </si>
  <si>
    <r>
      <rPr>
        <b/>
        <sz val="10.7"/>
        <rFont val="Calibri"/>
        <family val="2"/>
        <scheme val="minor"/>
      </rPr>
      <t xml:space="preserve">Keith Andrews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</si>
  <si>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Kris Zdral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</si>
  <si>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Kurt Person </t>
    </r>
    <r>
      <rPr>
        <sz val="11"/>
        <rFont val="Calibri"/>
        <family val="2"/>
        <scheme val="minor"/>
      </rPr>
      <t xml:space="preserve"> </t>
    </r>
  </si>
  <si>
    <t>Lee Matfield</t>
  </si>
  <si>
    <r>
      <rPr>
        <b/>
        <sz val="10.7"/>
        <rFont val="Calibri"/>
        <family val="2"/>
        <scheme val="minor"/>
      </rPr>
      <t xml:space="preserve">Leon H. LaVigne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</si>
  <si>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Mark Rakowski </t>
    </r>
    <r>
      <rPr>
        <sz val="11"/>
        <rFont val="Calibri"/>
        <family val="2"/>
        <scheme val="minor"/>
      </rPr>
      <t xml:space="preserve"> </t>
    </r>
  </si>
  <si>
    <t>Mark Schiefer</t>
  </si>
  <si>
    <r>
      <rPr>
        <b/>
        <sz val="10.7"/>
        <rFont val="Calibri"/>
        <family val="2"/>
        <scheme val="minor"/>
      </rPr>
      <t xml:space="preserve">Markus Downey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</si>
  <si>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Peter Jensen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</si>
  <si>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Peter Kaub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</si>
  <si>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Roger C. Cass </t>
    </r>
    <r>
      <rPr>
        <sz val="11"/>
        <rFont val="Calibri"/>
        <family val="2"/>
        <scheme val="minor"/>
      </rPr>
      <t xml:space="preserve"> </t>
    </r>
  </si>
  <si>
    <r>
      <rPr>
        <b/>
        <sz val="10.7"/>
        <rFont val="Calibri"/>
        <family val="2"/>
        <scheme val="minor"/>
      </rPr>
      <t xml:space="preserve">Scott A. Miers </t>
    </r>
    <r>
      <rPr>
        <sz val="11"/>
        <rFont val="Calibri"/>
        <family val="2"/>
        <scheme val="minor"/>
      </rPr>
      <t xml:space="preserve"> </t>
    </r>
  </si>
  <si>
    <t>Sean Egmon</t>
  </si>
  <si>
    <t>William Attard</t>
  </si>
  <si>
    <r>
      <rPr>
        <b/>
        <sz val="10.7"/>
        <rFont val="Calibri"/>
        <family val="2"/>
        <scheme val="minor"/>
      </rPr>
      <t xml:space="preserve">William Poirier </t>
    </r>
    <r>
      <rPr>
        <sz val="11"/>
        <rFont val="Calibri"/>
        <family val="2"/>
        <scheme val="minor"/>
      </rPr>
      <t xml:space="preserve"> </t>
    </r>
  </si>
  <si>
    <t>William Silvis</t>
  </si>
  <si>
    <t>CSC 2011 Design Paper</t>
  </si>
  <si>
    <t>SAE CSC2011 Static Display Results</t>
  </si>
  <si>
    <t>SAE CSC2011 Manufacturers Suggested Retail Price Results</t>
  </si>
  <si>
    <t>SAE CSC2011 Subjective Ride Results</t>
  </si>
  <si>
    <t>SAE CSC2011 Fuel Economy/Endurance Results</t>
  </si>
  <si>
    <t>SAE CSC 2011 IC Engine Noise Testing</t>
  </si>
  <si>
    <t>SAE CSC2011 Oral Presentation Results</t>
  </si>
  <si>
    <t>SAE CSC2011 Cold Start Results</t>
  </si>
  <si>
    <t>SAE CSC2011 Acceleration Results</t>
  </si>
  <si>
    <t>SAE CSC2011 Lab Emission Testing Results</t>
  </si>
  <si>
    <t>SAE CSC2011 In Service Emission Testing Results</t>
  </si>
  <si>
    <t>SAE CSC2011 IC Vehicle Weights</t>
  </si>
  <si>
    <t>Fourth Place Winner Overall (Eaton)</t>
  </si>
  <si>
    <t>Most Sportsmanlike Winner  (AVL)</t>
  </si>
  <si>
    <t>Innovation (Caterpillar)</t>
  </si>
  <si>
    <t>Safety Award (Talon)</t>
  </si>
  <si>
    <t>Best Engine Design (Mahle)</t>
  </si>
  <si>
    <t>Nick Harker</t>
  </si>
  <si>
    <r>
      <rPr>
        <b/>
        <sz val="10.7"/>
        <rFont val="Calibri"/>
        <family val="2"/>
        <scheme val="minor"/>
      </rPr>
      <t xml:space="preserve">Jeff Gillen </t>
    </r>
    <r>
      <rPr>
        <b/>
        <sz val="11"/>
        <rFont val="Calibri"/>
        <family val="2"/>
        <scheme val="minor"/>
      </rPr>
      <t xml:space="preserve"> </t>
    </r>
  </si>
  <si>
    <t>Brian Kuykendall</t>
  </si>
  <si>
    <t>DB</t>
  </si>
  <si>
    <t>Trimboli</t>
  </si>
  <si>
    <t>MS</t>
  </si>
  <si>
    <t>JC</t>
  </si>
  <si>
    <t>TJ</t>
  </si>
  <si>
    <t>WA</t>
  </si>
  <si>
    <t>BJ</t>
  </si>
  <si>
    <t>LL</t>
  </si>
  <si>
    <t>AS</t>
  </si>
  <si>
    <t>MH</t>
  </si>
  <si>
    <t>DeClerck</t>
  </si>
  <si>
    <t>PC</t>
  </si>
  <si>
    <t>DS</t>
  </si>
  <si>
    <t>LJO</t>
  </si>
  <si>
    <t>SD</t>
  </si>
  <si>
    <t>Tippett</t>
  </si>
  <si>
    <t>DE</t>
  </si>
  <si>
    <t>KA</t>
  </si>
  <si>
    <t>TS</t>
  </si>
  <si>
    <t>PT</t>
  </si>
  <si>
    <t>BK</t>
  </si>
  <si>
    <t>HB</t>
  </si>
  <si>
    <t>Carly Lockrem</t>
  </si>
  <si>
    <t>Brian Bachand</t>
  </si>
  <si>
    <t>Lee Pfeil</t>
  </si>
  <si>
    <t>Tim Abhold</t>
  </si>
  <si>
    <t>Dickie</t>
  </si>
  <si>
    <t>Bolkers</t>
  </si>
  <si>
    <t>Armando Sanchez</t>
  </si>
  <si>
    <t>Williams</t>
  </si>
  <si>
    <t>Koen</t>
  </si>
  <si>
    <t>Grady</t>
  </si>
  <si>
    <t>Madison</t>
  </si>
  <si>
    <t>MTU</t>
  </si>
  <si>
    <t>Idaho</t>
  </si>
  <si>
    <t xml:space="preserve">Buffalo </t>
  </si>
  <si>
    <t>Kettering</t>
  </si>
  <si>
    <t>Platteville</t>
  </si>
  <si>
    <t>Waterloo</t>
  </si>
  <si>
    <t>Maine</t>
  </si>
  <si>
    <t>Clarkson IC</t>
  </si>
  <si>
    <t>UAF IC</t>
  </si>
  <si>
    <t>ETS</t>
  </si>
  <si>
    <t>Linear Ranking on $$$</t>
  </si>
  <si>
    <t>Power Curve Applied to $$$</t>
  </si>
  <si>
    <t>Justifying starting point for sled</t>
  </si>
  <si>
    <t>Justifying reason for component adds</t>
  </si>
  <si>
    <t>Quality of research in determining price</t>
  </si>
  <si>
    <t>Total of Subjective Points</t>
  </si>
  <si>
    <t>Total Pts - Power Curve Applied</t>
  </si>
  <si>
    <t>Total Pts - Linear Ranking</t>
  </si>
  <si>
    <t>Power Curve of Total Pts with Linear Ranking on $$$</t>
  </si>
  <si>
    <t>Team</t>
  </si>
  <si>
    <t>Andrew Hauenstein</t>
  </si>
  <si>
    <t>Drew Boyer</t>
  </si>
  <si>
    <t>Min</t>
  </si>
  <si>
    <t>Max</t>
  </si>
  <si>
    <t>E29</t>
  </si>
  <si>
    <t>B5</t>
  </si>
  <si>
    <t>DQ</t>
  </si>
  <si>
    <t>DNF</t>
  </si>
  <si>
    <r>
      <t xml:space="preserve">#6North Dakota State Univ </t>
    </r>
    <r>
      <rPr>
        <b/>
        <sz val="11"/>
        <color rgb="FFFF0000"/>
        <rFont val="Calibri"/>
        <family val="2"/>
        <scheme val="minor"/>
      </rPr>
      <t>withdrew</t>
    </r>
  </si>
  <si>
    <r>
      <t>#6North Dakota State Univ</t>
    </r>
    <r>
      <rPr>
        <b/>
        <sz val="11"/>
        <color rgb="FFFF0000"/>
        <rFont val="Calibri"/>
        <family val="2"/>
        <scheme val="minor"/>
      </rPr>
      <t xml:space="preserve"> withdrew</t>
    </r>
  </si>
  <si>
    <r>
      <t xml:space="preserve">#10Northern Illinois Univ </t>
    </r>
    <r>
      <rPr>
        <b/>
        <sz val="11"/>
        <color rgb="FFFF0000"/>
        <rFont val="Calibri"/>
        <family val="2"/>
        <scheme val="minor"/>
      </rPr>
      <t>withdrew</t>
    </r>
  </si>
  <si>
    <r>
      <t>#10Northern Illinois Univ</t>
    </r>
    <r>
      <rPr>
        <b/>
        <sz val="11"/>
        <color rgb="FFFF0000"/>
        <rFont val="Calibri"/>
        <family val="2"/>
        <scheme val="minor"/>
      </rPr>
      <t xml:space="preserve"> withdrew</t>
    </r>
  </si>
  <si>
    <t>Martin Radue</t>
  </si>
  <si>
    <t>Matthew Spruit</t>
  </si>
  <si>
    <t>wrong format and page limit</t>
  </si>
  <si>
    <t>(information only)</t>
  </si>
  <si>
    <t>Northern Illinois</t>
  </si>
  <si>
    <t>North Dakota</t>
  </si>
  <si>
    <t>Note: due to icy conditions, the 78dba limit was increased to 80dba in accordance with J192 standards</t>
  </si>
  <si>
    <t xml:space="preserve">Power curve on </t>
  </si>
  <si>
    <t>J192 score</t>
  </si>
  <si>
    <t>Power curve</t>
  </si>
  <si>
    <t>on</t>
  </si>
  <si>
    <t>could not keep up speed</t>
  </si>
  <si>
    <t>Could not maintain speed</t>
  </si>
  <si>
    <t>Not Eligible</t>
  </si>
  <si>
    <t>recharge/jump dead battery</t>
  </si>
  <si>
    <t>twice</t>
  </si>
  <si>
    <t>engine change</t>
  </si>
  <si>
    <t>unexpected accelleartion during inspection</t>
  </si>
  <si>
    <t>fuel leak sprayed test driver</t>
  </si>
  <si>
    <t>replace thermal event hose</t>
  </si>
  <si>
    <t>Test
Miles</t>
  </si>
  <si>
    <t>instrument  failure</t>
  </si>
  <si>
    <t>Comment</t>
  </si>
  <si>
    <t>Fuel Economy
based on CO2</t>
  </si>
  <si>
    <t>SAE CSC2011 Objective Handling/Driveability Event Results</t>
  </si>
  <si>
    <t>SAE CSC2011 Penalties</t>
  </si>
  <si>
    <t>Phoenix Award (rise from the ashes to compete)</t>
  </si>
  <si>
    <t xml:space="preserve">South Dakota School of Mine &amp; Technology (ZE Class) </t>
  </si>
  <si>
    <t>Michigan Tech ( ZE class)</t>
  </si>
  <si>
    <t>McGill (ZE Class)</t>
  </si>
  <si>
    <t>Alaska Fairbanks (ZE Class)</t>
  </si>
  <si>
    <t>#27Michigan Tech Univ (ZE Class)</t>
  </si>
</sst>
</file>

<file path=xl/styles.xml><?xml version="1.0" encoding="utf-8"?>
<styleSheet xmlns="http://schemas.openxmlformats.org/spreadsheetml/2006/main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.00"/>
    <numFmt numFmtId="166" formatCode="0.000"/>
    <numFmt numFmtId="167" formatCode="0.0%"/>
    <numFmt numFmtId="168" formatCode="\$#,##0.00"/>
  </numFmts>
  <fonts count="42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sz val="10"/>
      <color indexed="14"/>
      <name val="Arial"/>
      <family val="2"/>
    </font>
    <font>
      <i/>
      <sz val="9"/>
      <name val="Arial"/>
      <family val="2"/>
    </font>
    <font>
      <sz val="10"/>
      <color indexed="53"/>
      <name val="Arial"/>
      <family val="2"/>
    </font>
    <font>
      <b/>
      <sz val="10"/>
      <color indexed="53"/>
      <name val="Arial"/>
      <family val="2"/>
    </font>
    <font>
      <b/>
      <i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trike/>
      <sz val="10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indexed="10"/>
      <name val="Arial"/>
      <family val="2"/>
    </font>
    <font>
      <b/>
      <sz val="36"/>
      <color indexed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0.7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Times New Roman"/>
      <family val="1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7" fillId="2" borderId="0" applyNumberFormat="0" applyBorder="0" applyAlignment="0" applyProtection="0"/>
    <xf numFmtId="44" fontId="41" fillId="0" borderId="0" applyFont="0" applyFill="0" applyBorder="0" applyAlignment="0" applyProtection="0"/>
  </cellStyleXfs>
  <cellXfs count="451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7" fillId="0" borderId="0" xfId="0" applyFont="1" applyProtection="1"/>
    <xf numFmtId="0" fontId="3" fillId="0" borderId="0" xfId="0" applyFont="1" applyProtection="1"/>
    <xf numFmtId="0" fontId="0" fillId="0" borderId="0" xfId="0" applyAlignment="1" applyProtection="1">
      <alignment horizontal="right"/>
    </xf>
    <xf numFmtId="0" fontId="2" fillId="0" borderId="0" xfId="0" applyFont="1" applyProtection="1"/>
    <xf numFmtId="0" fontId="2" fillId="0" borderId="0" xfId="0" applyFont="1" applyFill="1" applyBorder="1" applyProtection="1"/>
    <xf numFmtId="0" fontId="0" fillId="0" borderId="0" xfId="0" applyFill="1" applyBorder="1" applyProtection="1"/>
    <xf numFmtId="0" fontId="2" fillId="0" borderId="0" xfId="0" applyFont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Protection="1"/>
    <xf numFmtId="1" fontId="2" fillId="0" borderId="0" xfId="0" applyNumberFormat="1" applyFon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0" fillId="0" borderId="0" xfId="0" applyNumberForma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6" fillId="0" borderId="0" xfId="0" applyFont="1" applyProtection="1"/>
    <xf numFmtId="0" fontId="6" fillId="0" borderId="0" xfId="0" applyFont="1" applyFill="1" applyBorder="1"/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9" fillId="0" borderId="0" xfId="0" applyFont="1"/>
    <xf numFmtId="0" fontId="6" fillId="0" borderId="0" xfId="0" applyFont="1" applyFill="1" applyBorder="1" applyAlignment="1" applyProtection="1">
      <alignment horizontal="right"/>
    </xf>
    <xf numFmtId="1" fontId="2" fillId="0" borderId="0" xfId="0" applyNumberFormat="1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44" fontId="8" fillId="0" borderId="0" xfId="0" applyNumberFormat="1" applyFont="1" applyBorder="1" applyProtection="1"/>
    <xf numFmtId="1" fontId="0" fillId="0" borderId="0" xfId="0" applyNumberFormat="1" applyAlignment="1" applyProtection="1">
      <alignment horizontal="center"/>
    </xf>
    <xf numFmtId="0" fontId="0" fillId="0" borderId="0" xfId="0" applyFill="1"/>
    <xf numFmtId="164" fontId="0" fillId="0" borderId="0" xfId="0" applyNumberFormat="1" applyFill="1"/>
    <xf numFmtId="1" fontId="6" fillId="0" borderId="0" xfId="0" applyNumberFormat="1" applyFont="1" applyAlignment="1" applyProtection="1">
      <alignment horizontal="right"/>
    </xf>
    <xf numFmtId="1" fontId="5" fillId="0" borderId="0" xfId="0" applyNumberFormat="1" applyFont="1" applyAlignment="1" applyProtection="1">
      <alignment horizontal="center"/>
    </xf>
    <xf numFmtId="1" fontId="6" fillId="0" borderId="0" xfId="0" applyNumberFormat="1" applyFont="1" applyAlignment="1" applyProtection="1">
      <alignment horizontal="center"/>
    </xf>
    <xf numFmtId="0" fontId="2" fillId="0" borderId="0" xfId="0" applyFont="1" applyAlignment="1" applyProtection="1">
      <alignment horizontal="center" wrapText="1"/>
    </xf>
    <xf numFmtId="1" fontId="4" fillId="0" borderId="0" xfId="0" applyNumberFormat="1" applyFont="1" applyAlignment="1" applyProtection="1">
      <alignment horizontal="right"/>
    </xf>
    <xf numFmtId="0" fontId="4" fillId="0" borderId="0" xfId="0" applyFont="1" applyProtection="1"/>
    <xf numFmtId="0" fontId="5" fillId="0" borderId="0" xfId="0" applyFont="1" applyFill="1" applyBorder="1" applyAlignment="1" applyProtection="1">
      <alignment horizontal="center" wrapText="1"/>
    </xf>
    <xf numFmtId="164" fontId="6" fillId="0" borderId="0" xfId="0" applyNumberFormat="1" applyFont="1" applyFill="1" applyBorder="1" applyAlignment="1" applyProtection="1">
      <alignment horizontal="center"/>
    </xf>
    <xf numFmtId="0" fontId="0" fillId="0" borderId="0" xfId="0" applyAlignment="1"/>
    <xf numFmtId="0" fontId="0" fillId="0" borderId="0" xfId="0" applyFill="1" applyAlignment="1">
      <alignment horizontal="center"/>
    </xf>
    <xf numFmtId="0" fontId="6" fillId="0" borderId="0" xfId="0" applyFont="1" applyFill="1"/>
    <xf numFmtId="0" fontId="5" fillId="0" borderId="0" xfId="0" applyFont="1" applyFill="1" applyAlignment="1" applyProtection="1">
      <alignment horizontal="center"/>
    </xf>
    <xf numFmtId="164" fontId="5" fillId="0" borderId="0" xfId="0" applyNumberFormat="1" applyFont="1" applyFill="1" applyAlignment="1" applyProtection="1">
      <alignment horizontal="center"/>
    </xf>
    <xf numFmtId="0" fontId="7" fillId="0" borderId="0" xfId="0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5" fontId="6" fillId="0" borderId="0" xfId="0" applyNumberFormat="1" applyFont="1" applyFill="1" applyBorder="1" applyProtection="1"/>
    <xf numFmtId="165" fontId="0" fillId="0" borderId="0" xfId="0" applyNumberFormat="1" applyFill="1" applyBorder="1"/>
    <xf numFmtId="0" fontId="0" fillId="0" borderId="0" xfId="0" applyBorder="1" applyProtection="1"/>
    <xf numFmtId="0" fontId="6" fillId="0" borderId="0" xfId="0" applyFont="1" applyFill="1" applyBorder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/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2" fillId="0" borderId="0" xfId="0" applyNumberFormat="1" applyFont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64" fontId="4" fillId="0" borderId="0" xfId="0" applyNumberFormat="1" applyFont="1" applyAlignment="1" applyProtection="1">
      <alignment horizontal="center"/>
    </xf>
    <xf numFmtId="0" fontId="0" fillId="0" borderId="0" xfId="0" applyBorder="1" applyAlignment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0" fontId="10" fillId="0" borderId="0" xfId="0" applyFont="1" applyProtection="1"/>
    <xf numFmtId="0" fontId="10" fillId="0" borderId="0" xfId="0" applyFont="1"/>
    <xf numFmtId="0" fontId="2" fillId="0" borderId="0" xfId="0" applyFont="1" applyAlignment="1" applyProtection="1">
      <alignment horizontal="left"/>
    </xf>
    <xf numFmtId="167" fontId="0" fillId="0" borderId="0" xfId="0" applyNumberFormat="1" applyAlignment="1" applyProtection="1">
      <alignment horizontal="center"/>
    </xf>
    <xf numFmtId="0" fontId="4" fillId="0" borderId="0" xfId="0" applyFont="1"/>
    <xf numFmtId="0" fontId="4" fillId="0" borderId="0" xfId="0" applyFont="1" applyAlignment="1" applyProtection="1">
      <alignment horizontal="right"/>
    </xf>
    <xf numFmtId="2" fontId="0" fillId="0" borderId="0" xfId="0" applyNumberFormat="1" applyProtection="1"/>
    <xf numFmtId="0" fontId="0" fillId="0" borderId="0" xfId="0" applyBorder="1" applyAlignment="1" applyProtection="1">
      <alignment horizontal="right"/>
    </xf>
    <xf numFmtId="0" fontId="2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0" fillId="0" borderId="0" xfId="0" applyNumberForma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6" fillId="0" borderId="0" xfId="0" quotePrefix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wrapText="1"/>
    </xf>
    <xf numFmtId="0" fontId="5" fillId="0" borderId="0" xfId="0" applyFont="1" applyAlignment="1" applyProtection="1">
      <alignment horizontal="left"/>
    </xf>
    <xf numFmtId="1" fontId="5" fillId="0" borderId="0" xfId="0" applyNumberFormat="1" applyFont="1" applyAlignment="1" applyProtection="1">
      <alignment horizontal="right"/>
    </xf>
    <xf numFmtId="1" fontId="4" fillId="0" borderId="0" xfId="0" applyNumberFormat="1" applyFont="1" applyAlignment="1" applyProtection="1">
      <alignment horizontal="center"/>
    </xf>
    <xf numFmtId="0" fontId="5" fillId="0" borderId="0" xfId="0" applyFont="1" applyProtection="1"/>
    <xf numFmtId="165" fontId="4" fillId="0" borderId="0" xfId="0" applyNumberFormat="1" applyFont="1" applyProtection="1"/>
    <xf numFmtId="0" fontId="11" fillId="0" borderId="0" xfId="0" applyFont="1" applyProtection="1"/>
    <xf numFmtId="0" fontId="11" fillId="0" borderId="0" xfId="0" applyFont="1" applyAlignment="1" applyProtection="1"/>
    <xf numFmtId="0" fontId="11" fillId="0" borderId="0" xfId="0" applyFont="1" applyBorder="1" applyAlignment="1" applyProtection="1"/>
    <xf numFmtId="0" fontId="11" fillId="0" borderId="0" xfId="0" applyFont="1" applyBorder="1" applyProtection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/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Fill="1" applyBorder="1" applyAlignment="1" applyProtection="1">
      <alignment horizontal="center"/>
    </xf>
    <xf numFmtId="0" fontId="11" fillId="0" borderId="0" xfId="0" applyFont="1" applyAlignment="1"/>
    <xf numFmtId="2" fontId="11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/>
    <xf numFmtId="164" fontId="11" fillId="0" borderId="0" xfId="0" applyNumberFormat="1" applyFont="1" applyFill="1" applyAlignment="1" applyProtection="1"/>
    <xf numFmtId="164" fontId="11" fillId="0" borderId="0" xfId="0" applyNumberFormat="1" applyFont="1" applyFill="1" applyProtection="1"/>
    <xf numFmtId="164" fontId="11" fillId="0" borderId="0" xfId="0" applyNumberFormat="1" applyFont="1" applyFill="1"/>
    <xf numFmtId="164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Border="1" applyProtection="1"/>
    <xf numFmtId="0" fontId="12" fillId="0" borderId="0" xfId="0" applyFont="1" applyBorder="1" applyAlignment="1" applyProtection="1">
      <alignment horizontal="center"/>
    </xf>
    <xf numFmtId="2" fontId="12" fillId="0" borderId="0" xfId="0" applyNumberFormat="1" applyFont="1" applyFill="1" applyBorder="1" applyAlignment="1" applyProtection="1">
      <alignment horizontal="center"/>
    </xf>
    <xf numFmtId="166" fontId="12" fillId="0" borderId="0" xfId="0" applyNumberFormat="1" applyFont="1" applyFill="1" applyBorder="1" applyAlignment="1" applyProtection="1">
      <alignment horizontal="center"/>
    </xf>
    <xf numFmtId="0" fontId="11" fillId="0" borderId="0" xfId="0" applyFont="1" applyFill="1" applyAlignment="1">
      <alignment horizontal="center"/>
    </xf>
    <xf numFmtId="0" fontId="12" fillId="0" borderId="0" xfId="0" applyFont="1" applyProtection="1"/>
    <xf numFmtId="2" fontId="12" fillId="0" borderId="0" xfId="0" applyNumberFormat="1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/>
    <xf numFmtId="164" fontId="1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>
      <alignment horizontal="center"/>
    </xf>
    <xf numFmtId="166" fontId="11" fillId="0" borderId="0" xfId="0" applyNumberFormat="1" applyFont="1" applyFill="1" applyBorder="1" applyAlignment="1" applyProtection="1">
      <alignment horizontal="center"/>
    </xf>
    <xf numFmtId="14" fontId="11" fillId="0" borderId="0" xfId="0" applyNumberFormat="1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 applyProtection="1">
      <alignment horizontal="center"/>
    </xf>
    <xf numFmtId="0" fontId="13" fillId="0" borderId="0" xfId="0" applyFont="1" applyProtection="1"/>
    <xf numFmtId="0" fontId="6" fillId="0" borderId="0" xfId="0" applyFont="1" applyAlignment="1" applyProtection="1"/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1" fontId="5" fillId="0" borderId="0" xfId="0" applyNumberFormat="1" applyFont="1" applyFill="1" applyBorder="1" applyAlignment="1" applyProtection="1">
      <alignment horizontal="center"/>
    </xf>
    <xf numFmtId="0" fontId="6" fillId="0" borderId="0" xfId="0" applyFont="1" applyAlignment="1"/>
    <xf numFmtId="2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 applyProtection="1"/>
    <xf numFmtId="167" fontId="6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0" fontId="0" fillId="0" borderId="0" xfId="0" applyAlignment="1">
      <alignment vertical="top" wrapText="1"/>
    </xf>
    <xf numFmtId="0" fontId="6" fillId="0" borderId="0" xfId="0" applyFont="1" applyFill="1" applyBorder="1" applyAlignment="1" applyProtection="1">
      <alignment horizontal="center" wrapText="1"/>
    </xf>
    <xf numFmtId="165" fontId="5" fillId="0" borderId="0" xfId="0" applyNumberFormat="1" applyFont="1" applyFill="1" applyBorder="1" applyProtection="1"/>
    <xf numFmtId="0" fontId="2" fillId="0" borderId="0" xfId="0" applyFont="1"/>
    <xf numFmtId="2" fontId="2" fillId="0" borderId="0" xfId="0" applyNumberFormat="1" applyFont="1" applyFill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15" fillId="0" borderId="0" xfId="0" applyFont="1" applyProtection="1"/>
    <xf numFmtId="0" fontId="14" fillId="0" borderId="0" xfId="0" applyFont="1" applyProtection="1"/>
    <xf numFmtId="0" fontId="17" fillId="0" borderId="0" xfId="0" applyFont="1" applyFill="1" applyBorder="1" applyAlignment="1" applyProtection="1">
      <alignment horizontal="left"/>
    </xf>
    <xf numFmtId="0" fontId="17" fillId="0" borderId="0" xfId="0" applyFont="1" applyAlignment="1">
      <alignment horizontal="left"/>
    </xf>
    <xf numFmtId="0" fontId="14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 applyProtection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167" fontId="15" fillId="0" borderId="0" xfId="0" applyNumberFormat="1" applyFont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1" fontId="15" fillId="0" borderId="0" xfId="0" applyNumberFormat="1" applyFont="1" applyFill="1" applyAlignment="1" applyProtection="1">
      <alignment horizontal="center"/>
    </xf>
    <xf numFmtId="1" fontId="15" fillId="0" borderId="0" xfId="0" applyNumberFormat="1" applyFont="1" applyAlignment="1" applyProtection="1">
      <alignment horizontal="center"/>
    </xf>
    <xf numFmtId="164" fontId="19" fillId="0" borderId="0" xfId="0" applyNumberFormat="1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167" fontId="14" fillId="0" borderId="0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/>
    <xf numFmtId="0" fontId="15" fillId="0" borderId="0" xfId="0" applyFont="1" applyFill="1"/>
    <xf numFmtId="0" fontId="15" fillId="0" borderId="0" xfId="0" applyFont="1" applyFill="1" applyBorder="1" applyAlignment="1" applyProtection="1">
      <alignment horizontal="right"/>
    </xf>
    <xf numFmtId="1" fontId="19" fillId="0" borderId="0" xfId="0" applyNumberFormat="1" applyFont="1" applyAlignment="1" applyProtection="1">
      <alignment horizontal="right"/>
    </xf>
    <xf numFmtId="164" fontId="14" fillId="0" borderId="0" xfId="0" applyNumberFormat="1" applyFont="1" applyAlignment="1" applyProtection="1">
      <alignment horizontal="center"/>
    </xf>
    <xf numFmtId="1" fontId="3" fillId="0" borderId="0" xfId="0" applyNumberFormat="1" applyFont="1" applyProtection="1"/>
    <xf numFmtId="1" fontId="2" fillId="0" borderId="0" xfId="0" applyNumberFormat="1" applyFont="1" applyFill="1" applyBorder="1" applyProtection="1"/>
    <xf numFmtId="0" fontId="6" fillId="0" borderId="0" xfId="0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21" fillId="0" borderId="0" xfId="0" applyFont="1" applyAlignment="1" applyProtection="1">
      <alignment horizontal="center" wrapText="1"/>
    </xf>
    <xf numFmtId="0" fontId="15" fillId="0" borderId="0" xfId="0" applyFont="1" applyFill="1" applyBorder="1" applyProtection="1"/>
    <xf numFmtId="2" fontId="4" fillId="0" borderId="0" xfId="0" applyNumberFormat="1" applyFont="1" applyAlignment="1" applyProtection="1">
      <alignment horizontal="center"/>
    </xf>
    <xf numFmtId="1" fontId="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right"/>
    </xf>
    <xf numFmtId="0" fontId="20" fillId="0" borderId="0" xfId="0" applyFont="1" applyProtection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/>
    <xf numFmtId="2" fontId="4" fillId="0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Alignment="1">
      <alignment horizontal="center"/>
    </xf>
    <xf numFmtId="1" fontId="2" fillId="0" borderId="0" xfId="0" applyNumberFormat="1" applyFont="1" applyProtection="1"/>
    <xf numFmtId="1" fontId="2" fillId="0" borderId="0" xfId="0" applyNumberFormat="1" applyFont="1" applyFill="1" applyBorder="1" applyAlignment="1" applyProtection="1">
      <alignment horizontal="center"/>
    </xf>
    <xf numFmtId="164" fontId="2" fillId="0" borderId="0" xfId="0" quotePrefix="1" applyNumberFormat="1" applyFont="1" applyBorder="1" applyAlignment="1" applyProtection="1">
      <alignment horizontal="center"/>
    </xf>
    <xf numFmtId="1" fontId="2" fillId="0" borderId="0" xfId="0" applyNumberFormat="1" applyFont="1" applyBorder="1" applyAlignment="1" applyProtection="1">
      <alignment horizontal="center"/>
    </xf>
    <xf numFmtId="0" fontId="23" fillId="0" borderId="0" xfId="0" applyFont="1" applyAlignment="1">
      <alignment horizontal="left" indent="12"/>
    </xf>
    <xf numFmtId="164" fontId="2" fillId="0" borderId="0" xfId="0" applyNumberFormat="1" applyFont="1" applyBorder="1" applyAlignment="1" applyProtection="1">
      <alignment horizontal="right"/>
    </xf>
    <xf numFmtId="164" fontId="2" fillId="0" borderId="0" xfId="0" applyNumberFormat="1" applyFont="1" applyBorder="1" applyAlignment="1" applyProtection="1">
      <alignment horizontal="left"/>
    </xf>
    <xf numFmtId="0" fontId="4" fillId="0" borderId="2" xfId="0" applyFont="1" applyBorder="1" applyAlignment="1">
      <alignment horizontal="center"/>
    </xf>
    <xf numFmtId="164" fontId="6" fillId="0" borderId="0" xfId="0" applyNumberFormat="1" applyFont="1" applyFill="1"/>
    <xf numFmtId="2" fontId="5" fillId="0" borderId="0" xfId="0" applyNumberFormat="1" applyFont="1" applyFill="1" applyAlignment="1" applyProtection="1">
      <alignment horizontal="center"/>
    </xf>
    <xf numFmtId="2" fontId="2" fillId="0" borderId="0" xfId="0" applyNumberFormat="1" applyFont="1" applyAlignment="1">
      <alignment horizontal="center"/>
    </xf>
    <xf numFmtId="0" fontId="24" fillId="0" borderId="0" xfId="0" applyFont="1" applyAlignment="1">
      <alignment horizontal="justify"/>
    </xf>
    <xf numFmtId="0" fontId="24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2" fontId="11" fillId="0" borderId="0" xfId="0" applyNumberFormat="1" applyFont="1" applyFill="1" applyBorder="1" applyAlignment="1" applyProtection="1">
      <alignment horizontal="left"/>
    </xf>
    <xf numFmtId="0" fontId="4" fillId="0" borderId="0" xfId="0" applyFont="1" applyAlignment="1"/>
    <xf numFmtId="0" fontId="22" fillId="0" borderId="0" xfId="0" applyFont="1" applyAlignment="1">
      <alignment horizontal="center"/>
    </xf>
    <xf numFmtId="1" fontId="16" fillId="0" borderId="0" xfId="0" applyNumberFormat="1" applyFont="1" applyAlignment="1" applyProtection="1">
      <alignment horizontal="center"/>
    </xf>
    <xf numFmtId="164" fontId="14" fillId="0" borderId="2" xfId="0" applyNumberFormat="1" applyFont="1" applyBorder="1" applyAlignment="1">
      <alignment horizontal="center"/>
    </xf>
    <xf numFmtId="1" fontId="14" fillId="0" borderId="0" xfId="0" applyNumberFormat="1" applyFont="1" applyAlignment="1" applyProtection="1">
      <alignment horizontal="center"/>
    </xf>
    <xf numFmtId="166" fontId="14" fillId="0" borderId="0" xfId="0" applyNumberFormat="1" applyFont="1" applyAlignment="1" applyProtection="1">
      <alignment horizontal="center"/>
    </xf>
    <xf numFmtId="2" fontId="14" fillId="0" borderId="0" xfId="0" applyNumberFormat="1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Fill="1"/>
    <xf numFmtId="0" fontId="26" fillId="0" borderId="0" xfId="0" applyFont="1"/>
    <xf numFmtId="164" fontId="2" fillId="0" borderId="0" xfId="0" applyNumberFormat="1" applyFont="1" applyFill="1" applyAlignment="1" applyProtection="1">
      <alignment horizont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27" fillId="0" borderId="0" xfId="0" applyFont="1"/>
    <xf numFmtId="0" fontId="4" fillId="0" borderId="0" xfId="0" applyFont="1" applyFill="1" applyBorder="1" applyAlignment="1" applyProtection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0" xfId="0" applyFont="1" applyAlignment="1" applyProtection="1">
      <alignment horizontal="left"/>
    </xf>
    <xf numFmtId="2" fontId="4" fillId="0" borderId="0" xfId="0" applyNumberFormat="1" applyFont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2" fontId="0" fillId="0" borderId="0" xfId="0" applyNumberFormat="1" applyAlignment="1" applyProtection="1">
      <alignment horizontal="left"/>
    </xf>
    <xf numFmtId="0" fontId="14" fillId="0" borderId="0" xfId="0" applyFont="1" applyFill="1" applyBorder="1" applyAlignment="1" applyProtection="1">
      <alignment horizontal="left"/>
    </xf>
    <xf numFmtId="0" fontId="0" fillId="0" borderId="0" xfId="0" applyAlignment="1" applyProtection="1">
      <alignment horizontal="left"/>
    </xf>
    <xf numFmtId="2" fontId="0" fillId="0" borderId="0" xfId="0" applyNumberFormat="1"/>
    <xf numFmtId="1" fontId="4" fillId="0" borderId="2" xfId="0" applyNumberFormat="1" applyFont="1" applyFill="1" applyBorder="1" applyAlignment="1" applyProtection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1" fontId="0" fillId="0" borderId="0" xfId="0" applyNumberFormat="1" applyProtection="1"/>
    <xf numFmtId="1" fontId="0" fillId="0" borderId="0" xfId="0" applyNumberFormat="1"/>
    <xf numFmtId="1" fontId="20" fillId="0" borderId="0" xfId="0" applyNumberFormat="1" applyFont="1"/>
    <xf numFmtId="1" fontId="4" fillId="0" borderId="0" xfId="0" applyNumberFormat="1" applyFont="1" applyProtection="1"/>
    <xf numFmtId="2" fontId="6" fillId="0" borderId="0" xfId="0" applyNumberFormat="1" applyFont="1" applyProtection="1"/>
    <xf numFmtId="0" fontId="5" fillId="0" borderId="0" xfId="0" applyFont="1" applyFill="1" applyAlignment="1" applyProtection="1">
      <alignment horizontal="left"/>
    </xf>
    <xf numFmtId="166" fontId="4" fillId="0" borderId="0" xfId="0" applyNumberFormat="1" applyFont="1" applyAlignment="1" applyProtection="1">
      <alignment horizontal="center"/>
    </xf>
    <xf numFmtId="0" fontId="5" fillId="0" borderId="0" xfId="0" applyFont="1" applyBorder="1" applyAlignment="1">
      <alignment horizontal="left"/>
    </xf>
    <xf numFmtId="1" fontId="0" fillId="0" borderId="0" xfId="0" applyNumberFormat="1" applyBorder="1"/>
    <xf numFmtId="0" fontId="4" fillId="0" borderId="0" xfId="0" applyFont="1" applyBorder="1" applyAlignment="1">
      <alignment horizontal="left" wrapText="1"/>
    </xf>
    <xf numFmtId="164" fontId="4" fillId="0" borderId="2" xfId="0" applyNumberFormat="1" applyFont="1" applyBorder="1" applyAlignment="1">
      <alignment horizontal="left"/>
    </xf>
    <xf numFmtId="0" fontId="28" fillId="0" borderId="0" xfId="0" applyFont="1" applyAlignment="1">
      <alignment wrapText="1"/>
    </xf>
    <xf numFmtId="1" fontId="29" fillId="0" borderId="0" xfId="0" applyNumberFormat="1" applyFont="1" applyAlignment="1" applyProtection="1">
      <alignment horizontal="right"/>
    </xf>
    <xf numFmtId="1" fontId="29" fillId="0" borderId="0" xfId="0" applyNumberFormat="1" applyFont="1" applyAlignment="1" applyProtection="1">
      <alignment horizontal="left"/>
    </xf>
    <xf numFmtId="0" fontId="29" fillId="0" borderId="0" xfId="0" applyFont="1" applyProtection="1"/>
    <xf numFmtId="0" fontId="30" fillId="0" borderId="0" xfId="0" applyFont="1"/>
    <xf numFmtId="0" fontId="29" fillId="0" borderId="0" xfId="0" applyFont="1"/>
    <xf numFmtId="1" fontId="30" fillId="0" borderId="2" xfId="0" applyNumberFormat="1" applyFont="1" applyFill="1" applyBorder="1" applyAlignment="1" applyProtection="1">
      <alignment horizontal="center"/>
    </xf>
    <xf numFmtId="0" fontId="30" fillId="0" borderId="2" xfId="0" applyNumberFormat="1" applyFont="1" applyFill="1" applyBorder="1" applyAlignment="1" applyProtection="1">
      <alignment horizontal="center"/>
    </xf>
    <xf numFmtId="1" fontId="4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164" fontId="30" fillId="0" borderId="0" xfId="0" applyNumberFormat="1" applyFont="1"/>
    <xf numFmtId="0" fontId="7" fillId="0" borderId="0" xfId="0" applyFont="1"/>
    <xf numFmtId="2" fontId="30" fillId="0" borderId="2" xfId="0" applyNumberFormat="1" applyFont="1" applyBorder="1" applyAlignment="1">
      <alignment horizontal="center"/>
    </xf>
    <xf numFmtId="0" fontId="30" fillId="0" borderId="0" xfId="0" applyFont="1" applyFill="1" applyBorder="1" applyAlignment="1" applyProtection="1">
      <alignment horizontal="left" wrapText="1"/>
    </xf>
    <xf numFmtId="0" fontId="30" fillId="0" borderId="0" xfId="0" applyFont="1" applyFill="1" applyBorder="1" applyAlignment="1" applyProtection="1">
      <alignment horizontal="left"/>
    </xf>
    <xf numFmtId="0" fontId="30" fillId="0" borderId="0" xfId="0" applyFont="1" applyAlignment="1">
      <alignment horizontal="left"/>
    </xf>
    <xf numFmtId="0" fontId="30" fillId="0" borderId="0" xfId="0" applyFont="1" applyProtection="1"/>
    <xf numFmtId="0" fontId="2" fillId="0" borderId="4" xfId="0" applyFont="1" applyBorder="1" applyAlignment="1">
      <alignment horizontal="centerContinuous"/>
    </xf>
    <xf numFmtId="0" fontId="6" fillId="0" borderId="0" xfId="0" applyFont="1" applyAlignment="1" applyProtection="1">
      <alignment horizontal="centerContinuous"/>
    </xf>
    <xf numFmtId="0" fontId="0" fillId="0" borderId="4" xfId="0" applyBorder="1" applyAlignment="1">
      <alignment horizontal="centerContinuous"/>
    </xf>
    <xf numFmtId="0" fontId="6" fillId="0" borderId="5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6" fillId="0" borderId="4" xfId="0" applyFont="1" applyBorder="1" applyAlignment="1" applyProtection="1">
      <alignment horizontal="centerContinuous"/>
    </xf>
    <xf numFmtId="0" fontId="0" fillId="0" borderId="7" xfId="0" applyBorder="1"/>
    <xf numFmtId="0" fontId="6" fillId="0" borderId="8" xfId="0" applyFont="1" applyFill="1" applyBorder="1" applyProtection="1"/>
    <xf numFmtId="0" fontId="6" fillId="0" borderId="7" xfId="0" applyFont="1" applyFill="1" applyBorder="1" applyProtection="1"/>
    <xf numFmtId="0" fontId="2" fillId="0" borderId="0" xfId="0" applyFont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right"/>
    </xf>
    <xf numFmtId="164" fontId="6" fillId="0" borderId="16" xfId="0" applyNumberFormat="1" applyFont="1" applyBorder="1" applyProtection="1"/>
    <xf numFmtId="164" fontId="11" fillId="0" borderId="16" xfId="0" applyNumberFormat="1" applyFont="1" applyFill="1" applyBorder="1" applyAlignment="1" applyProtection="1">
      <alignment horizontal="center"/>
    </xf>
    <xf numFmtId="0" fontId="2" fillId="0" borderId="17" xfId="0" applyFont="1" applyBorder="1" applyAlignment="1">
      <alignment horizontal="center"/>
    </xf>
    <xf numFmtId="2" fontId="11" fillId="0" borderId="16" xfId="0" applyNumberFormat="1" applyFont="1" applyFill="1" applyBorder="1" applyAlignment="1" applyProtection="1">
      <alignment horizontal="center"/>
    </xf>
    <xf numFmtId="2" fontId="4" fillId="0" borderId="2" xfId="0" applyNumberFormat="1" applyFont="1" applyFill="1" applyBorder="1" applyAlignment="1" applyProtection="1">
      <alignment horizontal="right"/>
    </xf>
    <xf numFmtId="164" fontId="6" fillId="0" borderId="2" xfId="0" applyNumberFormat="1" applyFont="1" applyBorder="1" applyProtection="1"/>
    <xf numFmtId="164" fontId="11" fillId="0" borderId="2" xfId="0" applyNumberFormat="1" applyFont="1" applyFill="1" applyBorder="1" applyAlignment="1" applyProtection="1">
      <alignment horizontal="center"/>
    </xf>
    <xf numFmtId="2" fontId="11" fillId="0" borderId="2" xfId="0" applyNumberFormat="1" applyFont="1" applyFill="1" applyBorder="1" applyAlignment="1" applyProtection="1">
      <alignment horizontal="center"/>
    </xf>
    <xf numFmtId="1" fontId="29" fillId="0" borderId="0" xfId="0" applyNumberFormat="1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wrapText="1"/>
    </xf>
    <xf numFmtId="0" fontId="31" fillId="0" borderId="0" xfId="0" applyFont="1" applyAlignment="1">
      <alignment wrapText="1"/>
    </xf>
    <xf numFmtId="164" fontId="1" fillId="0" borderId="2" xfId="0" applyNumberFormat="1" applyFont="1" applyFill="1" applyBorder="1" applyAlignment="1" applyProtection="1">
      <alignment horizontal="center"/>
    </xf>
    <xf numFmtId="0" fontId="1" fillId="0" borderId="0" xfId="0" applyFont="1" applyFill="1" applyAlignment="1">
      <alignment horizontal="center"/>
    </xf>
    <xf numFmtId="164" fontId="5" fillId="0" borderId="2" xfId="0" applyNumberFormat="1" applyFont="1" applyFill="1" applyBorder="1" applyAlignment="1" applyProtection="1">
      <alignment horizontal="center"/>
    </xf>
    <xf numFmtId="0" fontId="32" fillId="0" borderId="0" xfId="0" applyFont="1"/>
    <xf numFmtId="0" fontId="30" fillId="0" borderId="0" xfId="0" applyFont="1" applyAlignment="1" applyProtection="1">
      <alignment horizontal="center"/>
    </xf>
    <xf numFmtId="164" fontId="29" fillId="0" borderId="0" xfId="0" applyNumberFormat="1" applyFont="1" applyAlignment="1" applyProtection="1">
      <alignment horizontal="center"/>
    </xf>
    <xf numFmtId="0" fontId="30" fillId="0" borderId="0" xfId="0" applyFont="1" applyFill="1" applyBorder="1" applyAlignment="1" applyProtection="1">
      <alignment horizontal="center"/>
    </xf>
    <xf numFmtId="164" fontId="30" fillId="0" borderId="2" xfId="0" applyNumberFormat="1" applyFont="1" applyBorder="1" applyAlignment="1">
      <alignment horizontal="center"/>
    </xf>
    <xf numFmtId="167" fontId="30" fillId="0" borderId="0" xfId="0" applyNumberFormat="1" applyFont="1" applyAlignment="1" applyProtection="1">
      <alignment horizontal="center"/>
    </xf>
    <xf numFmtId="0" fontId="29" fillId="0" borderId="12" xfId="0" applyFont="1" applyBorder="1" applyAlignment="1">
      <alignment horizontal="center"/>
    </xf>
    <xf numFmtId="0" fontId="30" fillId="0" borderId="0" xfId="0" applyFont="1" applyAlignment="1" applyProtection="1"/>
    <xf numFmtId="0" fontId="30" fillId="0" borderId="0" xfId="0" applyFont="1" applyFill="1"/>
    <xf numFmtId="167" fontId="30" fillId="0" borderId="0" xfId="0" applyNumberFormat="1" applyFont="1" applyFill="1" applyBorder="1" applyAlignment="1" applyProtection="1">
      <alignment horizontal="center"/>
    </xf>
    <xf numFmtId="0" fontId="30" fillId="0" borderId="0" xfId="0" applyFont="1" applyAlignment="1"/>
    <xf numFmtId="0" fontId="30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Border="1" applyAlignment="1" applyProtection="1">
      <alignment horizontal="center" wrapText="1"/>
    </xf>
    <xf numFmtId="0" fontId="33" fillId="0" borderId="0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Protection="1"/>
    <xf numFmtId="1" fontId="1" fillId="0" borderId="2" xfId="0" applyNumberFormat="1" applyFont="1" applyFill="1" applyBorder="1" applyAlignment="1" applyProtection="1">
      <alignment horizontal="center"/>
    </xf>
    <xf numFmtId="164" fontId="1" fillId="0" borderId="0" xfId="0" applyNumberFormat="1" applyFont="1" applyFill="1" applyBorder="1" applyAlignment="1" applyProtection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2" fontId="2" fillId="0" borderId="2" xfId="0" applyNumberFormat="1" applyFont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Border="1" applyProtection="1"/>
    <xf numFmtId="1" fontId="2" fillId="0" borderId="0" xfId="0" applyNumberFormat="1" applyFont="1" applyAlignment="1" applyProtection="1">
      <alignment horizontal="left"/>
    </xf>
    <xf numFmtId="0" fontId="34" fillId="0" borderId="0" xfId="0" applyFont="1" applyProtection="1"/>
    <xf numFmtId="0" fontId="34" fillId="0" borderId="0" xfId="0" applyFont="1"/>
    <xf numFmtId="6" fontId="0" fillId="0" borderId="0" xfId="0" applyNumberFormat="1"/>
    <xf numFmtId="6" fontId="5" fillId="0" borderId="0" xfId="0" applyNumberFormat="1" applyFont="1" applyProtection="1"/>
    <xf numFmtId="1" fontId="1" fillId="0" borderId="0" xfId="0" applyNumberFormat="1" applyFont="1" applyAlignment="1" applyProtection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Alignment="1" applyProtection="1">
      <alignment horizontal="right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31" fillId="0" borderId="0" xfId="0" applyNumberFormat="1" applyFont="1" applyFill="1" applyBorder="1" applyAlignment="1" applyProtection="1"/>
    <xf numFmtId="0" fontId="35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left"/>
    </xf>
    <xf numFmtId="2" fontId="2" fillId="0" borderId="0" xfId="0" applyNumberFormat="1" applyFont="1" applyFill="1" applyAlignment="1" applyProtection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0" xfId="0" applyFont="1" applyFill="1" applyBorder="1" applyProtection="1"/>
    <xf numFmtId="0" fontId="1" fillId="0" borderId="0" xfId="0" applyFont="1" applyBorder="1"/>
    <xf numFmtId="1" fontId="2" fillId="0" borderId="0" xfId="0" applyNumberFormat="1" applyFont="1"/>
    <xf numFmtId="0" fontId="2" fillId="0" borderId="2" xfId="0" applyNumberFormat="1" applyFont="1" applyFill="1" applyBorder="1" applyAlignment="1" applyProtection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165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168" fontId="2" fillId="0" borderId="0" xfId="0" applyNumberFormat="1" applyFont="1" applyAlignment="1">
      <alignment horizontal="right"/>
    </xf>
    <xf numFmtId="44" fontId="2" fillId="0" borderId="0" xfId="0" applyNumberFormat="1" applyFont="1" applyAlignment="1">
      <alignment horizontal="right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164" fontId="4" fillId="0" borderId="0" xfId="0" applyNumberFormat="1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5" fillId="0" borderId="0" xfId="1" applyFont="1" applyFill="1" applyAlignment="1">
      <alignment horizontal="center"/>
    </xf>
    <xf numFmtId="0" fontId="35" fillId="0" borderId="0" xfId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1" fillId="0" borderId="0" xfId="0" applyFont="1" applyAlignment="1">
      <alignment horizontal="center" wrapText="1"/>
    </xf>
    <xf numFmtId="0" fontId="31" fillId="0" borderId="0" xfId="0" applyFont="1" applyFill="1" applyBorder="1" applyAlignment="1">
      <alignment horizontal="center" wrapText="1"/>
    </xf>
    <xf numFmtId="0" fontId="35" fillId="0" borderId="0" xfId="0" applyFont="1" applyAlignment="1">
      <alignment horizontal="center" wrapText="1"/>
    </xf>
    <xf numFmtId="0" fontId="35" fillId="0" borderId="0" xfId="0" applyFont="1" applyFill="1" applyBorder="1" applyAlignment="1">
      <alignment horizontal="center" wrapText="1"/>
    </xf>
    <xf numFmtId="1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2" fontId="35" fillId="0" borderId="0" xfId="1" applyNumberFormat="1" applyFont="1" applyFill="1" applyBorder="1" applyAlignment="1">
      <alignment horizontal="center"/>
    </xf>
    <xf numFmtId="0" fontId="37" fillId="0" borderId="0" xfId="1" applyFill="1" applyAlignment="1" applyProtection="1">
      <alignment horizontal="center"/>
    </xf>
    <xf numFmtId="164" fontId="40" fillId="0" borderId="2" xfId="0" applyNumberFormat="1" applyFont="1" applyFill="1" applyBorder="1" applyAlignment="1" applyProtection="1">
      <alignment horizontal="center"/>
    </xf>
    <xf numFmtId="0" fontId="35" fillId="0" borderId="0" xfId="1" applyFont="1" applyFill="1" applyBorder="1"/>
    <xf numFmtId="0" fontId="35" fillId="0" borderId="2" xfId="1" applyFont="1" applyFill="1" applyBorder="1" applyAlignment="1">
      <alignment horizontal="center" vertical="top" wrapText="1"/>
    </xf>
    <xf numFmtId="164" fontId="35" fillId="0" borderId="2" xfId="1" applyNumberFormat="1" applyFont="1" applyFill="1" applyBorder="1" applyAlignment="1" applyProtection="1">
      <alignment horizontal="center"/>
    </xf>
    <xf numFmtId="164" fontId="35" fillId="0" borderId="2" xfId="1" applyNumberFormat="1" applyFont="1" applyFill="1" applyBorder="1" applyAlignment="1">
      <alignment horizontal="center" vertical="top" wrapText="1"/>
    </xf>
    <xf numFmtId="164" fontId="35" fillId="0" borderId="2" xfId="1" applyNumberFormat="1" applyFont="1" applyFill="1" applyBorder="1" applyAlignment="1">
      <alignment horizontal="center"/>
    </xf>
    <xf numFmtId="0" fontId="35" fillId="0" borderId="2" xfId="1" applyFont="1" applyFill="1" applyBorder="1"/>
    <xf numFmtId="0" fontId="4" fillId="0" borderId="0" xfId="0" applyFont="1" applyFill="1"/>
    <xf numFmtId="1" fontId="35" fillId="3" borderId="2" xfId="1" applyNumberFormat="1" applyFont="1" applyFill="1" applyBorder="1" applyAlignment="1" applyProtection="1">
      <alignment horizontal="center"/>
    </xf>
    <xf numFmtId="166" fontId="1" fillId="0" borderId="0" xfId="0" applyNumberFormat="1" applyFont="1" applyAlignment="1" applyProtection="1">
      <alignment horizontal="center"/>
    </xf>
    <xf numFmtId="2" fontId="1" fillId="0" borderId="0" xfId="0" applyNumberFormat="1" applyFont="1" applyAlignment="1" applyProtection="1">
      <alignment horizontal="center"/>
    </xf>
    <xf numFmtId="164" fontId="1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2" fontId="6" fillId="0" borderId="0" xfId="0" applyNumberFormat="1" applyFont="1" applyAlignment="1" applyProtection="1"/>
    <xf numFmtId="0" fontId="6" fillId="0" borderId="0" xfId="0" applyNumberFormat="1" applyFont="1" applyProtection="1"/>
    <xf numFmtId="0" fontId="6" fillId="0" borderId="0" xfId="0" applyNumberFormat="1" applyFont="1" applyFill="1" applyBorder="1" applyProtection="1"/>
    <xf numFmtId="0" fontId="5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Border="1" applyAlignment="1">
      <alignment horizontal="center"/>
    </xf>
    <xf numFmtId="0" fontId="11" fillId="0" borderId="0" xfId="0" applyNumberFormat="1" applyFont="1" applyAlignment="1">
      <alignment horizontal="center"/>
    </xf>
    <xf numFmtId="0" fontId="11" fillId="0" borderId="0" xfId="0" applyNumberFormat="1" applyFont="1"/>
    <xf numFmtId="0" fontId="0" fillId="0" borderId="0" xfId="0" applyNumberFormat="1"/>
    <xf numFmtId="0" fontId="28" fillId="0" borderId="0" xfId="0" applyFont="1" applyFill="1" applyAlignment="1">
      <alignment wrapText="1"/>
    </xf>
    <xf numFmtId="164" fontId="4" fillId="0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1" fontId="4" fillId="0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5" fontId="0" fillId="0" borderId="0" xfId="0" applyNumberFormat="1" applyFill="1" applyBorder="1" applyAlignment="1">
      <alignment horizontal="center"/>
    </xf>
    <xf numFmtId="0" fontId="37" fillId="0" borderId="2" xfId="1" applyFill="1" applyBorder="1" applyAlignment="1" applyProtection="1">
      <alignment horizontal="center"/>
    </xf>
    <xf numFmtId="0" fontId="37" fillId="0" borderId="0" xfId="1" applyFill="1" applyAlignment="1">
      <alignment horizontal="center"/>
    </xf>
    <xf numFmtId="1" fontId="1" fillId="0" borderId="0" xfId="0" applyNumberFormat="1" applyFont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164" fontId="37" fillId="0" borderId="9" xfId="1" applyNumberFormat="1" applyFill="1" applyBorder="1" applyAlignment="1">
      <alignment horizontal="center"/>
    </xf>
    <xf numFmtId="0" fontId="37" fillId="0" borderId="9" xfId="1" applyFill="1" applyBorder="1" applyAlignment="1">
      <alignment horizontal="left" wrapText="1"/>
    </xf>
    <xf numFmtId="164" fontId="37" fillId="0" borderId="13" xfId="1" applyNumberFormat="1" applyFill="1" applyBorder="1" applyAlignment="1">
      <alignment horizontal="center"/>
    </xf>
    <xf numFmtId="2" fontId="35" fillId="0" borderId="2" xfId="1" applyNumberFormat="1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top" wrapText="1"/>
    </xf>
    <xf numFmtId="0" fontId="31" fillId="0" borderId="0" xfId="0" applyFont="1" applyFill="1" applyAlignment="1">
      <alignment horizontal="center" wrapText="1"/>
    </xf>
    <xf numFmtId="0" fontId="35" fillId="0" borderId="0" xfId="0" applyFont="1" applyFill="1" applyAlignment="1">
      <alignment horizontal="center" wrapText="1"/>
    </xf>
    <xf numFmtId="2" fontId="1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top" wrapText="1"/>
    </xf>
    <xf numFmtId="165" fontId="37" fillId="0" borderId="0" xfId="1" applyNumberFormat="1" applyFill="1" applyBorder="1" applyProtection="1"/>
    <xf numFmtId="2" fontId="35" fillId="0" borderId="2" xfId="1" applyNumberFormat="1" applyFont="1" applyFill="1" applyBorder="1" applyAlignment="1" applyProtection="1">
      <alignment horizontal="center"/>
    </xf>
    <xf numFmtId="2" fontId="35" fillId="0" borderId="2" xfId="1" quotePrefix="1" applyNumberFormat="1" applyFont="1" applyFill="1" applyBorder="1" applyAlignment="1" applyProtection="1">
      <alignment horizontal="center"/>
    </xf>
    <xf numFmtId="2" fontId="35" fillId="3" borderId="2" xfId="1" applyNumberFormat="1" applyFont="1" applyFill="1" applyBorder="1" applyAlignment="1" applyProtection="1">
      <alignment horizontal="center"/>
    </xf>
    <xf numFmtId="166" fontId="2" fillId="0" borderId="2" xfId="0" applyNumberFormat="1" applyFont="1" applyFill="1" applyBorder="1" applyAlignment="1" applyProtection="1">
      <alignment horizontal="center"/>
    </xf>
    <xf numFmtId="166" fontId="35" fillId="3" borderId="2" xfId="1" applyNumberFormat="1" applyFont="1" applyFill="1" applyBorder="1" applyAlignment="1" applyProtection="1">
      <alignment horizontal="center"/>
    </xf>
    <xf numFmtId="166" fontId="2" fillId="3" borderId="2" xfId="0" applyNumberFormat="1" applyFont="1" applyFill="1" applyBorder="1" applyAlignment="1" applyProtection="1">
      <alignment horizontal="center"/>
    </xf>
    <xf numFmtId="167" fontId="1" fillId="0" borderId="0" xfId="0" applyNumberFormat="1" applyFont="1" applyFill="1" applyBorder="1" applyAlignment="1" applyProtection="1">
      <alignment horizontal="left"/>
    </xf>
    <xf numFmtId="164" fontId="2" fillId="0" borderId="2" xfId="0" applyNumberFormat="1" applyFont="1" applyBorder="1" applyAlignment="1">
      <alignment horizontal="right"/>
    </xf>
    <xf numFmtId="0" fontId="35" fillId="0" borderId="0" xfId="1" applyFont="1" applyFill="1"/>
    <xf numFmtId="164" fontId="35" fillId="0" borderId="0" xfId="1" applyNumberFormat="1" applyFont="1" applyFill="1" applyBorder="1"/>
    <xf numFmtId="0" fontId="35" fillId="0" borderId="0" xfId="1" applyFont="1" applyFill="1" applyBorder="1" applyAlignment="1">
      <alignment horizontal="left"/>
    </xf>
    <xf numFmtId="0" fontId="1" fillId="0" borderId="0" xfId="0" applyFont="1" applyFill="1"/>
    <xf numFmtId="44" fontId="2" fillId="0" borderId="0" xfId="2" applyFont="1" applyAlignment="1">
      <alignment horizontal="right"/>
    </xf>
    <xf numFmtId="44" fontId="2" fillId="0" borderId="0" xfId="2" applyFont="1" applyBorder="1" applyAlignment="1">
      <alignment horizontal="right"/>
    </xf>
    <xf numFmtId="0" fontId="35" fillId="0" borderId="2" xfId="1" applyFont="1" applyFill="1" applyBorder="1" applyAlignment="1" applyProtection="1">
      <alignment horizontal="center"/>
    </xf>
    <xf numFmtId="0" fontId="35" fillId="0" borderId="3" xfId="1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0" fillId="0" borderId="2" xfId="0" applyBorder="1"/>
    <xf numFmtId="0" fontId="2" fillId="0" borderId="2" xfId="0" applyFont="1" applyBorder="1" applyAlignment="1">
      <alignment horizontal="center"/>
    </xf>
    <xf numFmtId="2" fontId="1" fillId="3" borderId="2" xfId="0" applyNumberFormat="1" applyFont="1" applyFill="1" applyBorder="1" applyAlignment="1" applyProtection="1">
      <alignment horizontal="right"/>
    </xf>
    <xf numFmtId="2" fontId="0" fillId="0" borderId="0" xfId="0" applyNumberFormat="1" applyAlignment="1">
      <alignment horizontal="right"/>
    </xf>
    <xf numFmtId="2" fontId="35" fillId="3" borderId="2" xfId="1" applyNumberFormat="1" applyFont="1" applyFill="1" applyBorder="1" applyAlignment="1" applyProtection="1">
      <alignment horizontal="right"/>
    </xf>
    <xf numFmtId="164" fontId="2" fillId="0" borderId="2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Protection="1"/>
    <xf numFmtId="166" fontId="6" fillId="0" borderId="0" xfId="0" applyNumberFormat="1" applyFont="1" applyProtection="1"/>
  </cellXfs>
  <cellStyles count="3">
    <cellStyle name="Bad" xfId="1" builtinId="27"/>
    <cellStyle name="Currency" xfId="2" builtinId="4"/>
    <cellStyle name="Norma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34</xdr:row>
      <xdr:rowOff>9525</xdr:rowOff>
    </xdr:from>
    <xdr:to>
      <xdr:col>23</xdr:col>
      <xdr:colOff>0</xdr:colOff>
      <xdr:row>41</xdr:row>
      <xdr:rowOff>133350</xdr:rowOff>
    </xdr:to>
    <xdr:pic>
      <xdr:nvPicPr>
        <xdr:cNvPr id="22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4516100" y="5753100"/>
          <a:ext cx="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71"/>
  <sheetViews>
    <sheetView tabSelected="1" topLeftCell="A16" zoomScale="80" workbookViewId="0">
      <selection activeCell="B60" sqref="B60"/>
    </sheetView>
  </sheetViews>
  <sheetFormatPr defaultRowHeight="12.75"/>
  <cols>
    <col min="1" max="1" width="53.5703125" customWidth="1"/>
    <col min="2" max="2" width="14.85546875" customWidth="1"/>
    <col min="3" max="3" width="11.85546875" customWidth="1"/>
    <col min="4" max="4" width="10.5703125" customWidth="1"/>
    <col min="5" max="5" width="12.85546875" customWidth="1"/>
    <col min="6" max="6" width="12.42578125" customWidth="1"/>
    <col min="8" max="8" width="11.5703125" customWidth="1"/>
    <col min="9" max="9" width="15.28515625" customWidth="1"/>
    <col min="10" max="10" width="15.5703125" style="229" customWidth="1"/>
    <col min="11" max="11" width="15.5703125" style="3" customWidth="1"/>
    <col min="12" max="12" width="9.28515625" customWidth="1"/>
    <col min="13" max="13" width="12.5703125" customWidth="1"/>
    <col min="14" max="14" width="11.140625" customWidth="1"/>
    <col min="15" max="15" width="12.42578125" customWidth="1"/>
    <col min="16" max="16" width="15.42578125" customWidth="1"/>
  </cols>
  <sheetData>
    <row r="1" spans="1:19" ht="18.75">
      <c r="A1" s="7" t="s">
        <v>159</v>
      </c>
      <c r="B1" s="6"/>
      <c r="C1" s="6"/>
      <c r="D1" s="6"/>
      <c r="E1" s="6"/>
      <c r="F1" s="6"/>
      <c r="G1" s="38"/>
      <c r="H1" s="6"/>
      <c r="I1" s="6"/>
      <c r="J1" s="228"/>
      <c r="K1" s="138" t="s">
        <v>131</v>
      </c>
      <c r="L1" s="6"/>
      <c r="M1" s="6"/>
      <c r="N1" s="6"/>
      <c r="O1" s="6"/>
    </row>
    <row r="2" spans="1:19">
      <c r="A2" s="6"/>
      <c r="B2" s="5" t="s">
        <v>21</v>
      </c>
      <c r="C2" s="5" t="s">
        <v>5</v>
      </c>
      <c r="D2" s="6"/>
      <c r="E2" s="10" t="s">
        <v>51</v>
      </c>
      <c r="F2" s="5" t="s">
        <v>44</v>
      </c>
      <c r="G2" s="38"/>
      <c r="H2" s="6"/>
      <c r="I2" s="6"/>
      <c r="J2" s="82" t="s">
        <v>130</v>
      </c>
      <c r="K2" s="5" t="s">
        <v>108</v>
      </c>
      <c r="L2" s="5" t="s">
        <v>46</v>
      </c>
      <c r="M2" s="10" t="s">
        <v>49</v>
      </c>
      <c r="N2" s="10" t="s">
        <v>70</v>
      </c>
      <c r="O2" s="38" t="s">
        <v>125</v>
      </c>
      <c r="P2" s="25"/>
    </row>
    <row r="3" spans="1:19">
      <c r="A3" s="6"/>
      <c r="B3" s="5" t="s">
        <v>6</v>
      </c>
      <c r="C3" s="5" t="s">
        <v>50</v>
      </c>
      <c r="D3" s="5" t="s">
        <v>72</v>
      </c>
      <c r="E3" s="5" t="s">
        <v>3</v>
      </c>
      <c r="F3" s="36" t="s">
        <v>45</v>
      </c>
      <c r="G3" s="5" t="s">
        <v>4</v>
      </c>
      <c r="H3" s="5" t="s">
        <v>39</v>
      </c>
      <c r="I3" s="2" t="s">
        <v>40</v>
      </c>
      <c r="J3" s="17" t="s">
        <v>107</v>
      </c>
      <c r="K3" s="5" t="s">
        <v>2</v>
      </c>
      <c r="L3" s="5" t="s">
        <v>47</v>
      </c>
      <c r="M3" s="5" t="s">
        <v>3</v>
      </c>
      <c r="N3" s="5" t="s">
        <v>69</v>
      </c>
      <c r="O3" s="5" t="s">
        <v>126</v>
      </c>
      <c r="S3" s="5"/>
    </row>
    <row r="4" spans="1:19" ht="15">
      <c r="A4" s="239" t="s">
        <v>120</v>
      </c>
      <c r="B4" s="61">
        <f>Paper!C53</f>
        <v>95.952158123053891</v>
      </c>
      <c r="C4" s="61">
        <f>Static!B5</f>
        <v>50</v>
      </c>
      <c r="D4" s="389">
        <v>1.3</v>
      </c>
      <c r="E4" s="61">
        <f>'Subjective Handling '!J4</f>
        <v>27.028399245041435</v>
      </c>
      <c r="F4" s="82">
        <v>0</v>
      </c>
      <c r="G4" s="61">
        <f>Oral!Y4</f>
        <v>92.265285275990138</v>
      </c>
      <c r="H4" s="61">
        <f>Noise!H5</f>
        <v>178.13270120173735</v>
      </c>
      <c r="I4" s="316">
        <f>Acceleration!E5</f>
        <v>36.076941239545917</v>
      </c>
      <c r="J4" s="314">
        <f>'Lab Emissions'!K5+'Lab Emissions'!O5</f>
        <v>322.26621731767153</v>
      </c>
      <c r="K4" s="314">
        <f>'In Service Emissions'!C6+'In Service Emissions'!I6</f>
        <v>100</v>
      </c>
      <c r="L4" s="314">
        <f>'Cold Start'!C4:C16</f>
        <v>50</v>
      </c>
      <c r="M4" s="314">
        <f>'Objective Handling'!E6</f>
        <v>38.889284362178842</v>
      </c>
      <c r="N4" s="314">
        <f>'Penalties and Bonuses'!J4</f>
        <v>0</v>
      </c>
      <c r="O4" s="247">
        <f>'Vehicle Weights'!G4</f>
        <v>0</v>
      </c>
      <c r="S4" s="61"/>
    </row>
    <row r="5" spans="1:19" ht="15">
      <c r="A5" s="239" t="s">
        <v>121</v>
      </c>
      <c r="B5" s="61">
        <f>Paper!D53</f>
        <v>82.16151734719304</v>
      </c>
      <c r="C5" s="61">
        <f>Static!B6</f>
        <v>50</v>
      </c>
      <c r="D5" s="389">
        <v>0</v>
      </c>
      <c r="E5" s="61">
        <f>'Subjective Handling '!J5</f>
        <v>25.907984132473892</v>
      </c>
      <c r="F5" s="82">
        <v>0</v>
      </c>
      <c r="G5" s="61">
        <f>Oral!Y5</f>
        <v>85.352045964434708</v>
      </c>
      <c r="H5" s="61">
        <f>Noise!H6</f>
        <v>0</v>
      </c>
      <c r="I5" s="316">
        <f>Acceleration!E6</f>
        <v>49.095640809474688</v>
      </c>
      <c r="J5" s="314">
        <f>'Lab Emissions'!K6+'Lab Emissions'!O6</f>
        <v>1.6635704193190013</v>
      </c>
      <c r="K5" s="314">
        <f>'In Service Emissions'!C7+'In Service Emissions'!I7</f>
        <v>24.712847142164641</v>
      </c>
      <c r="L5" s="314">
        <f>'Cold Start'!C5</f>
        <v>50</v>
      </c>
      <c r="M5" s="314">
        <f>'Objective Handling'!E7</f>
        <v>61.042622406682838</v>
      </c>
      <c r="N5" s="314">
        <f>'Penalties and Bonuses'!J5</f>
        <v>-10</v>
      </c>
      <c r="O5" s="247">
        <f>'Vehicle Weights'!G5</f>
        <v>0</v>
      </c>
      <c r="S5" s="61"/>
    </row>
    <row r="6" spans="1:19" ht="15">
      <c r="A6" s="239" t="s">
        <v>122</v>
      </c>
      <c r="B6" s="61">
        <f>Paper!E53</f>
        <v>100</v>
      </c>
      <c r="C6" s="61">
        <f>Static!B7</f>
        <v>50</v>
      </c>
      <c r="D6" s="389">
        <v>33.299999999999997</v>
      </c>
      <c r="E6" s="61">
        <f>'Subjective Handling '!J6</f>
        <v>31.635241877641796</v>
      </c>
      <c r="F6" s="82">
        <f>'Fuel Economy '!E9</f>
        <v>100</v>
      </c>
      <c r="G6" s="61">
        <f>Oral!Y6</f>
        <v>85.67967046280593</v>
      </c>
      <c r="H6" s="61">
        <f>Noise!H7</f>
        <v>75</v>
      </c>
      <c r="I6" s="316">
        <f>Acceleration!E7</f>
        <v>44.557779284573243</v>
      </c>
      <c r="J6" s="314">
        <f>'Lab Emissions'!K7+'Lab Emissions'!O7</f>
        <v>125.89006155856362</v>
      </c>
      <c r="K6" s="314">
        <f>'In Service Emissions'!C8+'In Service Emissions'!I8</f>
        <v>63.390418838493602</v>
      </c>
      <c r="L6" s="314">
        <f>'Cold Start'!C6</f>
        <v>50</v>
      </c>
      <c r="M6" s="314">
        <f>'Objective Handling'!E8</f>
        <v>40.845769359003683</v>
      </c>
      <c r="N6" s="314">
        <f>'Penalties and Bonuses'!J6</f>
        <v>90</v>
      </c>
      <c r="O6" s="247">
        <f>'Vehicle Weights'!G6</f>
        <v>0</v>
      </c>
      <c r="S6" s="61"/>
    </row>
    <row r="7" spans="1:19" s="183" customFormat="1" ht="15">
      <c r="A7" s="287" t="s">
        <v>160</v>
      </c>
      <c r="B7" s="61">
        <f>Paper!F53</f>
        <v>9.8697415432066116</v>
      </c>
      <c r="C7" s="61">
        <f>Static!B8</f>
        <v>50</v>
      </c>
      <c r="D7" s="389">
        <v>12.8</v>
      </c>
      <c r="E7" s="61">
        <f>'Subjective Handling '!J7</f>
        <v>0</v>
      </c>
      <c r="F7" s="323">
        <v>0</v>
      </c>
      <c r="G7" s="314">
        <f>Oral!Y7</f>
        <v>65.794474679697089</v>
      </c>
      <c r="H7" s="314">
        <f>Noise!H8</f>
        <v>271.4574898785425</v>
      </c>
      <c r="I7" s="316">
        <f>Acceleration!E8</f>
        <v>12.055193511687039</v>
      </c>
      <c r="J7" s="314">
        <f>'Lab Emissions'!K8+'Lab Emissions'!O8</f>
        <v>297.06921448333094</v>
      </c>
      <c r="K7" s="314">
        <f>'In Service Emissions'!C9+'In Service Emissions'!I9</f>
        <v>0</v>
      </c>
      <c r="L7" s="314">
        <f>'Cold Start'!C7</f>
        <v>50</v>
      </c>
      <c r="M7" s="314">
        <f>'Objective Handling'!E9</f>
        <v>0</v>
      </c>
      <c r="N7" s="314">
        <f>'Penalties and Bonuses'!J7</f>
        <v>0</v>
      </c>
      <c r="O7" s="324">
        <f>'Vehicle Weights'!G7</f>
        <v>0</v>
      </c>
      <c r="S7" s="314"/>
    </row>
    <row r="8" spans="1:19" s="183" customFormat="1" ht="15">
      <c r="A8" s="287" t="s">
        <v>161</v>
      </c>
      <c r="B8" s="61">
        <f>Paper!G53</f>
        <v>60.207393280868914</v>
      </c>
      <c r="C8" s="61">
        <f>Static!B9</f>
        <v>50</v>
      </c>
      <c r="D8" s="389">
        <v>34.200000000000003</v>
      </c>
      <c r="E8" s="61" t="str">
        <f>'Subjective Handling '!J8</f>
        <v xml:space="preserve"> </v>
      </c>
      <c r="F8" s="323">
        <v>0</v>
      </c>
      <c r="G8" s="314">
        <f>Oral!Y8</f>
        <v>93.613596728634946</v>
      </c>
      <c r="H8" s="314">
        <f>Noise!H9</f>
        <v>0</v>
      </c>
      <c r="I8" s="316">
        <f>Acceleration!E9</f>
        <v>0</v>
      </c>
      <c r="J8" s="314">
        <f>'Lab Emissions'!K9+'Lab Emissions'!O9</f>
        <v>1.7367113643001462</v>
      </c>
      <c r="K8" s="314">
        <f>'In Service Emissions'!C10+'In Service Emissions'!I10</f>
        <v>53.109739053049886</v>
      </c>
      <c r="L8" s="314">
        <f>'Cold Start'!C8</f>
        <v>0</v>
      </c>
      <c r="M8" s="314">
        <f>'Objective Handling'!E10</f>
        <v>0</v>
      </c>
      <c r="N8" s="314">
        <f>'Penalties and Bonuses'!J8</f>
        <v>-20</v>
      </c>
      <c r="O8" s="324">
        <f>'Vehicle Weights'!G8</f>
        <v>0</v>
      </c>
      <c r="S8" s="314"/>
    </row>
    <row r="9" spans="1:19" s="31" customFormat="1" ht="15">
      <c r="A9" s="401" t="s">
        <v>281</v>
      </c>
      <c r="B9" s="402" t="str">
        <f>Paper!H53</f>
        <v xml:space="preserve"> </v>
      </c>
      <c r="C9" s="403" t="s">
        <v>48</v>
      </c>
      <c r="D9" s="389"/>
      <c r="E9" s="402" t="str">
        <f>'Subjective Handling '!J9</f>
        <v xml:space="preserve"> </v>
      </c>
      <c r="F9" s="404">
        <v>0</v>
      </c>
      <c r="G9" s="403" t="s">
        <v>48</v>
      </c>
      <c r="H9" s="402">
        <f>Noise!H10</f>
        <v>0</v>
      </c>
      <c r="I9" s="405">
        <f>Acceleration!E10</f>
        <v>0</v>
      </c>
      <c r="J9" s="403">
        <f>'Lab Emissions'!K10+'Lab Emissions'!O10</f>
        <v>0</v>
      </c>
      <c r="K9" s="403">
        <v>0</v>
      </c>
      <c r="L9" s="403">
        <f>'Cold Start'!C9</f>
        <v>0</v>
      </c>
      <c r="M9" s="403" t="str">
        <f>'Objective Handling'!E11</f>
        <v xml:space="preserve"> </v>
      </c>
      <c r="N9" s="403">
        <f>'Penalties and Bonuses'!J9</f>
        <v>0</v>
      </c>
      <c r="O9" s="406">
        <f>'Vehicle Weights'!G9</f>
        <v>0</v>
      </c>
      <c r="S9" s="402"/>
    </row>
    <row r="10" spans="1:19" ht="15">
      <c r="A10" s="239" t="s">
        <v>123</v>
      </c>
      <c r="B10" s="61">
        <f>Paper!I53</f>
        <v>76.875980281522772</v>
      </c>
      <c r="C10" s="61">
        <f>Static!B11</f>
        <v>50</v>
      </c>
      <c r="D10" s="389">
        <v>44.3</v>
      </c>
      <c r="E10" s="61" t="str">
        <f>'Subjective Handling '!J10</f>
        <v xml:space="preserve"> </v>
      </c>
      <c r="F10" s="82">
        <f>'Fuel Economy '!E13</f>
        <v>101.08013708097312</v>
      </c>
      <c r="G10" s="61">
        <f>Oral!Y10</f>
        <v>83.696349604326329</v>
      </c>
      <c r="H10" s="61">
        <f>Noise!H11</f>
        <v>0</v>
      </c>
      <c r="I10" s="316">
        <f>Acceleration!E11</f>
        <v>50</v>
      </c>
      <c r="J10" s="314">
        <f>'Lab Emissions'!K11+'Lab Emissions'!O11</f>
        <v>23.840401244095645</v>
      </c>
      <c r="K10" s="314">
        <f>'In Service Emissions'!C12+'In Service Emissions'!I12</f>
        <v>30.802529950059235</v>
      </c>
      <c r="L10" s="314">
        <f>'Cold Start'!C10</f>
        <v>50</v>
      </c>
      <c r="M10" s="314">
        <f>'Objective Handling'!E12</f>
        <v>52.64902955481648</v>
      </c>
      <c r="N10" s="314">
        <f>'Penalties and Bonuses'!J10</f>
        <v>100</v>
      </c>
      <c r="O10" s="247">
        <f>'Vehicle Weights'!G10</f>
        <v>0</v>
      </c>
      <c r="S10" s="61"/>
    </row>
    <row r="11" spans="1:19" ht="15">
      <c r="A11" s="239" t="s">
        <v>163</v>
      </c>
      <c r="B11" s="61">
        <f>Paper!J53</f>
        <v>36.562230589385621</v>
      </c>
      <c r="C11" s="61">
        <f>Static!B12</f>
        <v>50</v>
      </c>
      <c r="D11" s="389">
        <v>37.799999999999997</v>
      </c>
      <c r="E11" s="61" t="str">
        <f>'Subjective Handling '!J11</f>
        <v xml:space="preserve"> </v>
      </c>
      <c r="F11" s="82">
        <v>0</v>
      </c>
      <c r="G11" s="61">
        <f>Oral!Y11</f>
        <v>63.897945078367449</v>
      </c>
      <c r="H11" s="61">
        <f>Noise!H12</f>
        <v>0</v>
      </c>
      <c r="I11" s="316">
        <f>Acceleration!E12</f>
        <v>0</v>
      </c>
      <c r="J11" s="314">
        <f>'Lab Emissions'!K12+'Lab Emissions'!O12</f>
        <v>0</v>
      </c>
      <c r="K11" s="314">
        <f>'In Service Emissions'!C13+'In Service Emissions'!I13</f>
        <v>0</v>
      </c>
      <c r="L11" s="314">
        <f>'Cold Start'!C11</f>
        <v>0</v>
      </c>
      <c r="M11" s="314" t="str">
        <f>'Objective Handling'!E13</f>
        <v xml:space="preserve"> </v>
      </c>
      <c r="N11" s="314">
        <f>'Penalties and Bonuses'!J11</f>
        <v>0</v>
      </c>
      <c r="O11" s="247">
        <f>'Vehicle Weights'!G11</f>
        <v>0</v>
      </c>
      <c r="S11" s="61"/>
    </row>
    <row r="12" spans="1:19" s="31" customFormat="1" ht="15">
      <c r="A12" s="401" t="s">
        <v>284</v>
      </c>
      <c r="B12" s="402" t="str">
        <f>Paper!K53</f>
        <v xml:space="preserve"> </v>
      </c>
      <c r="C12" s="403" t="s">
        <v>48</v>
      </c>
      <c r="D12" s="389"/>
      <c r="E12" s="402" t="str">
        <f>'Subjective Handling '!J12</f>
        <v xml:space="preserve"> </v>
      </c>
      <c r="F12" s="404">
        <v>0</v>
      </c>
      <c r="G12" s="403" t="s">
        <v>48</v>
      </c>
      <c r="H12" s="402">
        <f>Noise!H13</f>
        <v>0</v>
      </c>
      <c r="I12" s="405">
        <f>Acceleration!E13</f>
        <v>0</v>
      </c>
      <c r="J12" s="403">
        <f>'Lab Emissions'!K13+'Lab Emissions'!O13</f>
        <v>0</v>
      </c>
      <c r="K12" s="403">
        <f>'In Service Emissions'!C14+'In Service Emissions'!I14</f>
        <v>0</v>
      </c>
      <c r="L12" s="403">
        <f>'Cold Start'!C12</f>
        <v>0</v>
      </c>
      <c r="M12" s="403">
        <f>'Objective Handling'!E14</f>
        <v>0</v>
      </c>
      <c r="N12" s="403">
        <f>'Penalties and Bonuses'!J12</f>
        <v>0</v>
      </c>
      <c r="O12" s="406">
        <f>'Vehicle Weights'!G12</f>
        <v>0</v>
      </c>
      <c r="S12" s="402"/>
    </row>
    <row r="13" spans="1:19" s="146" customFormat="1" ht="15">
      <c r="A13" s="239" t="s">
        <v>164</v>
      </c>
      <c r="B13" s="61">
        <f>Paper!L53</f>
        <v>50.254276351205853</v>
      </c>
      <c r="C13" s="61">
        <f>Static!B14</f>
        <v>50</v>
      </c>
      <c r="D13" s="389">
        <v>43.4</v>
      </c>
      <c r="E13" s="61" t="str">
        <f>'Subjective Handling '!J13</f>
        <v xml:space="preserve"> </v>
      </c>
      <c r="F13" s="82">
        <v>0</v>
      </c>
      <c r="G13" s="61">
        <f>Oral!Y13</f>
        <v>67.353436779206746</v>
      </c>
      <c r="H13" s="61">
        <f>Noise!H14</f>
        <v>0</v>
      </c>
      <c r="I13" s="316">
        <f>Acceleration!E14</f>
        <v>0</v>
      </c>
      <c r="J13" s="314">
        <f>'Lab Emissions'!K14+'Lab Emissions'!O14</f>
        <v>0</v>
      </c>
      <c r="K13" s="314">
        <f>'In Service Emissions'!C15+'In Service Emissions'!I15</f>
        <v>0</v>
      </c>
      <c r="L13" s="314">
        <f>'Cold Start'!C13</f>
        <v>0</v>
      </c>
      <c r="M13" s="314">
        <f>'Objective Handling'!E15</f>
        <v>0</v>
      </c>
      <c r="N13" s="314">
        <f>'Penalties and Bonuses'!J13</f>
        <v>-10</v>
      </c>
      <c r="O13" s="247">
        <f>'Vehicle Weights'!G13</f>
        <v>0</v>
      </c>
      <c r="P13" s="183"/>
      <c r="S13" s="161"/>
    </row>
    <row r="14" spans="1:19" ht="15">
      <c r="A14" s="239" t="s">
        <v>165</v>
      </c>
      <c r="B14" s="61">
        <f>Paper!M53</f>
        <v>41.041409287893842</v>
      </c>
      <c r="C14" s="61">
        <f>Static!B15</f>
        <v>50</v>
      </c>
      <c r="D14" s="389">
        <v>50</v>
      </c>
      <c r="E14" s="61">
        <f>'Subjective Handling '!J14</f>
        <v>40.155503309729561</v>
      </c>
      <c r="F14" s="82">
        <f>'Fuel Economy '!E17</f>
        <v>200</v>
      </c>
      <c r="G14" s="61">
        <f>Oral!Y14</f>
        <v>77.223904394260828</v>
      </c>
      <c r="H14" s="61">
        <f>Noise!H15</f>
        <v>289.25936533960146</v>
      </c>
      <c r="I14" s="316">
        <f>Acceleration!E15</f>
        <v>19.58305829120124</v>
      </c>
      <c r="J14" s="314">
        <f>'Lab Emissions'!K15+'Lab Emissions'!O15</f>
        <v>253.03079027991373</v>
      </c>
      <c r="K14" s="314">
        <f>'In Service Emissions'!C16+'In Service Emissions'!I16</f>
        <v>58.300657701571964</v>
      </c>
      <c r="L14" s="314">
        <f>'Cold Start'!C14</f>
        <v>0</v>
      </c>
      <c r="M14" s="314">
        <f>'Objective Handling'!E16</f>
        <v>75</v>
      </c>
      <c r="N14" s="314">
        <f>'Penalties and Bonuses'!J14</f>
        <v>100</v>
      </c>
      <c r="O14" s="247">
        <f>'Vehicle Weights'!G14</f>
        <v>0</v>
      </c>
    </row>
    <row r="15" spans="1:19" ht="15">
      <c r="A15" s="239" t="s">
        <v>166</v>
      </c>
      <c r="B15" s="61">
        <f>Paper!N53</f>
        <v>0</v>
      </c>
      <c r="C15" s="61">
        <f>Static!B16</f>
        <v>50</v>
      </c>
      <c r="D15" s="389">
        <v>36.1</v>
      </c>
      <c r="E15" s="61">
        <f>'Subjective Handling '!J15</f>
        <v>50</v>
      </c>
      <c r="F15" s="82">
        <v>0</v>
      </c>
      <c r="G15" s="61">
        <f>Oral!Y15</f>
        <v>0</v>
      </c>
      <c r="H15" s="61">
        <f>Noise!H16</f>
        <v>0</v>
      </c>
      <c r="I15" s="316">
        <f>Acceleration!E16</f>
        <v>36.615113800856072</v>
      </c>
      <c r="J15" s="314">
        <f>'Lab Emissions'!K16+'Lab Emissions'!O16</f>
        <v>31.479782886332213</v>
      </c>
      <c r="K15" s="314">
        <f>'In Service Emissions'!C17+'In Service Emissions'!I17</f>
        <v>27.003864277811452</v>
      </c>
      <c r="L15" s="314">
        <f>'Cold Start'!C15</f>
        <v>50</v>
      </c>
      <c r="M15" s="314">
        <f>'Objective Handling'!E17</f>
        <v>37.02654067714559</v>
      </c>
      <c r="N15" s="314">
        <f>'Penalties and Bonuses'!J15</f>
        <v>-10</v>
      </c>
      <c r="O15" s="247">
        <f>'Vehicle Weights'!G15</f>
        <v>0</v>
      </c>
    </row>
    <row r="16" spans="1:19" ht="15">
      <c r="A16" s="239" t="s">
        <v>167</v>
      </c>
      <c r="B16" s="61">
        <f>Paper!O53</f>
        <v>51.563435024790103</v>
      </c>
      <c r="C16" s="61">
        <f>Static!B17</f>
        <v>50</v>
      </c>
      <c r="D16" s="389">
        <v>32.799999999999997</v>
      </c>
      <c r="E16" s="61">
        <f>'Subjective Handling '!J16</f>
        <v>49.276142770596309</v>
      </c>
      <c r="F16" s="82">
        <v>0</v>
      </c>
      <c r="G16" s="61">
        <f>Oral!Y16</f>
        <v>100</v>
      </c>
      <c r="H16" s="61">
        <f>Noise!H17</f>
        <v>0</v>
      </c>
      <c r="I16" s="316">
        <f>Acceleration!E17</f>
        <v>38.823829707835181</v>
      </c>
      <c r="J16" s="314">
        <f>'Lab Emissions'!K17+'Lab Emissions'!O17</f>
        <v>0</v>
      </c>
      <c r="K16" s="314">
        <f>'In Service Emissions'!C18+'In Service Emissions'!I18</f>
        <v>0</v>
      </c>
      <c r="L16" s="314">
        <f>'Cold Start'!C16</f>
        <v>50</v>
      </c>
      <c r="M16" s="314">
        <f>'Objective Handling'!E18</f>
        <v>48.111879112966491</v>
      </c>
      <c r="N16" s="314">
        <f>'Penalties and Bonuses'!J16</f>
        <v>-10</v>
      </c>
      <c r="O16" s="247">
        <f>'Vehicle Weights'!G16</f>
        <v>0</v>
      </c>
    </row>
    <row r="17" spans="1:15">
      <c r="M17" s="5"/>
      <c r="N17" s="13"/>
      <c r="O17" s="6"/>
    </row>
    <row r="18" spans="1:15">
      <c r="A18" s="10"/>
      <c r="B18" s="20" t="s">
        <v>19</v>
      </c>
      <c r="C18" s="17" t="s">
        <v>19</v>
      </c>
      <c r="D18" s="17" t="s">
        <v>22</v>
      </c>
      <c r="E18" s="34" t="s">
        <v>48</v>
      </c>
      <c r="F18" s="17" t="s">
        <v>19</v>
      </c>
      <c r="G18" s="33"/>
      <c r="H18" s="33"/>
      <c r="I18" s="68"/>
      <c r="L18" s="55"/>
      <c r="M18" s="35"/>
      <c r="N18" s="9"/>
      <c r="O18" s="6"/>
    </row>
    <row r="19" spans="1:15">
      <c r="A19" s="6"/>
      <c r="B19" s="20" t="s">
        <v>18</v>
      </c>
      <c r="C19" s="20" t="s">
        <v>21</v>
      </c>
      <c r="D19" s="5" t="s">
        <v>23</v>
      </c>
      <c r="E19" s="20" t="s">
        <v>19</v>
      </c>
      <c r="F19" s="5" t="s">
        <v>24</v>
      </c>
      <c r="G19" s="20" t="s">
        <v>25</v>
      </c>
      <c r="H19" s="20" t="s">
        <v>27</v>
      </c>
      <c r="L19" s="55"/>
      <c r="M19" s="35"/>
      <c r="N19" s="9"/>
      <c r="O19" s="6"/>
    </row>
    <row r="20" spans="1:15">
      <c r="A20" s="6"/>
      <c r="B20" s="20" t="s">
        <v>20</v>
      </c>
      <c r="C20" s="20" t="s">
        <v>20</v>
      </c>
      <c r="D20" s="5" t="s">
        <v>20</v>
      </c>
      <c r="E20" s="20" t="s">
        <v>52</v>
      </c>
      <c r="F20" s="5" t="s">
        <v>20</v>
      </c>
      <c r="G20" s="20" t="s">
        <v>9</v>
      </c>
      <c r="H20" s="20" t="s">
        <v>26</v>
      </c>
      <c r="L20" s="55"/>
      <c r="M20" s="35"/>
      <c r="N20" s="9"/>
      <c r="O20" s="6"/>
    </row>
    <row r="21" spans="1:15" ht="15">
      <c r="A21" s="239" t="s">
        <v>120</v>
      </c>
      <c r="B21" s="82">
        <f t="shared" ref="B21:B33" si="0">IF(AND(H4&gt;0,J4&gt;0,I4&gt;0),(I4+M4),"Not Eligible")</f>
        <v>74.966225601724759</v>
      </c>
      <c r="C21" s="82">
        <f t="shared" ref="C21:C33" si="1">IF(AND(J4&gt;0,H4&gt;0,I4&gt;0),(B4+G4+C4),"Not Eligible")</f>
        <v>238.21744339904404</v>
      </c>
      <c r="D21" s="234">
        <f>(H4+'Lab Emissions'!K5)/MSRP!D7</f>
        <v>3.5527913154774916E-2</v>
      </c>
      <c r="E21" s="168">
        <f t="shared" ref="E21:E32" si="2">E4+M4</f>
        <v>65.917683607220283</v>
      </c>
      <c r="F21" s="234">
        <f>(F4+I4+M4+E4+L4)/MSRP!D7</f>
        <v>1.1294044138742297E-2</v>
      </c>
      <c r="G21" s="17">
        <f>SUM(B4:O4)</f>
        <v>991.91098676521915</v>
      </c>
      <c r="H21" s="5">
        <f t="shared" ref="H21:H33" si="3">RANK(G21,$G$21:$G$33)</f>
        <v>2</v>
      </c>
      <c r="I21" s="169"/>
      <c r="L21" s="55"/>
      <c r="M21" s="35"/>
      <c r="N21" s="19"/>
      <c r="O21" s="6"/>
    </row>
    <row r="22" spans="1:15" ht="15">
      <c r="A22" s="239" t="s">
        <v>121</v>
      </c>
      <c r="B22" s="82" t="str">
        <f t="shared" si="0"/>
        <v>Not Eligible</v>
      </c>
      <c r="C22" s="82" t="str">
        <f t="shared" si="1"/>
        <v>Not Eligible</v>
      </c>
      <c r="D22" s="386" t="s">
        <v>298</v>
      </c>
      <c r="E22" s="168">
        <f t="shared" si="2"/>
        <v>86.950606539156723</v>
      </c>
      <c r="F22" s="234" t="s">
        <v>298</v>
      </c>
      <c r="G22" s="17">
        <f t="shared" ref="G22:G33" si="4">SUM(B5:O5)</f>
        <v>419.93622822174279</v>
      </c>
      <c r="H22" s="5">
        <f t="shared" si="3"/>
        <v>6</v>
      </c>
      <c r="I22" s="169"/>
      <c r="L22" s="55"/>
      <c r="M22" s="35"/>
      <c r="N22" s="19"/>
      <c r="O22" s="6"/>
    </row>
    <row r="23" spans="1:15" ht="15">
      <c r="A23" s="239" t="s">
        <v>122</v>
      </c>
      <c r="B23" s="82">
        <f t="shared" si="0"/>
        <v>85.403548643576926</v>
      </c>
      <c r="C23" s="82">
        <f t="shared" si="1"/>
        <v>235.67967046280592</v>
      </c>
      <c r="D23" s="234">
        <f>(H6+'Lab Emissions'!K7)/MSRP!D9</f>
        <v>1.2318825276821602E-2</v>
      </c>
      <c r="E23" s="168">
        <f t="shared" si="2"/>
        <v>72.481011236645486</v>
      </c>
      <c r="F23" s="234">
        <f>(F6+I6+M6+E6+L6)/MSRP!D9</f>
        <v>1.8797738300369477E-2</v>
      </c>
      <c r="G23" s="17">
        <f t="shared" si="4"/>
        <v>890.29894138108193</v>
      </c>
      <c r="H23" s="5">
        <f t="shared" si="3"/>
        <v>3</v>
      </c>
      <c r="L23" s="55"/>
      <c r="M23" s="35"/>
      <c r="N23" s="19"/>
      <c r="O23" s="6"/>
    </row>
    <row r="24" spans="1:15" s="183" customFormat="1" ht="15">
      <c r="A24" s="287" t="s">
        <v>160</v>
      </c>
      <c r="B24" s="323">
        <f t="shared" si="0"/>
        <v>12.055193511687039</v>
      </c>
      <c r="C24" s="323">
        <f t="shared" si="1"/>
        <v>125.6642162229037</v>
      </c>
      <c r="D24" s="234">
        <f>(H7+'Lab Emissions'!K8)/MSRP!D10</f>
        <v>4.0966912933248854E-2</v>
      </c>
      <c r="E24" s="168">
        <f t="shared" si="2"/>
        <v>0</v>
      </c>
      <c r="F24" s="234">
        <f>(F7+I7+M7+E7+L7)/MSRP!D10</f>
        <v>4.6223607829934477E-3</v>
      </c>
      <c r="G24" s="17">
        <f t="shared" si="4"/>
        <v>769.04611409646418</v>
      </c>
      <c r="H24" s="5">
        <f t="shared" si="3"/>
        <v>4</v>
      </c>
      <c r="J24" s="325"/>
      <c r="K24" s="304"/>
      <c r="L24" s="326"/>
      <c r="M24" s="323"/>
      <c r="N24" s="327"/>
      <c r="O24" s="309"/>
    </row>
    <row r="25" spans="1:15" s="183" customFormat="1" ht="15">
      <c r="A25" s="287" t="s">
        <v>161</v>
      </c>
      <c r="B25" s="323" t="str">
        <f t="shared" si="0"/>
        <v>Not Eligible</v>
      </c>
      <c r="C25" s="323" t="str">
        <f t="shared" si="1"/>
        <v>Not Eligible</v>
      </c>
      <c r="D25" s="234" t="s">
        <v>298</v>
      </c>
      <c r="E25" s="387" t="s">
        <v>298</v>
      </c>
      <c r="F25" s="234" t="s">
        <v>298</v>
      </c>
      <c r="G25" s="17">
        <f t="shared" si="4"/>
        <v>272.86744042685388</v>
      </c>
      <c r="H25" s="5">
        <f t="shared" si="3"/>
        <v>9</v>
      </c>
      <c r="J25" s="325"/>
      <c r="K25" s="304"/>
      <c r="L25" s="326"/>
      <c r="M25" s="323"/>
      <c r="N25" s="327"/>
      <c r="O25" s="309"/>
    </row>
    <row r="26" spans="1:15" ht="15">
      <c r="A26" s="239" t="s">
        <v>162</v>
      </c>
      <c r="B26" s="82" t="str">
        <f t="shared" si="0"/>
        <v>Not Eligible</v>
      </c>
      <c r="C26" s="82" t="str">
        <f t="shared" si="1"/>
        <v>Not Eligible</v>
      </c>
      <c r="D26" s="234" t="s">
        <v>298</v>
      </c>
      <c r="E26" s="387" t="s">
        <v>298</v>
      </c>
      <c r="F26" s="234" t="s">
        <v>298</v>
      </c>
      <c r="G26" s="17">
        <f t="shared" si="4"/>
        <v>0</v>
      </c>
      <c r="H26" s="5">
        <f t="shared" si="3"/>
        <v>12</v>
      </c>
      <c r="L26" s="55"/>
      <c r="M26" s="35"/>
      <c r="N26" s="19"/>
      <c r="O26" s="6"/>
    </row>
    <row r="27" spans="1:15" ht="15">
      <c r="A27" s="239" t="s">
        <v>123</v>
      </c>
      <c r="B27" s="82" t="str">
        <f t="shared" si="0"/>
        <v>Not Eligible</v>
      </c>
      <c r="C27" s="82" t="str">
        <f t="shared" si="1"/>
        <v>Not Eligible</v>
      </c>
      <c r="D27" s="234" t="s">
        <v>298</v>
      </c>
      <c r="E27" s="387" t="s">
        <v>298</v>
      </c>
      <c r="F27" s="234" t="s">
        <v>298</v>
      </c>
      <c r="G27" s="17">
        <f t="shared" si="4"/>
        <v>663.24442771579356</v>
      </c>
      <c r="H27" s="5">
        <f t="shared" si="3"/>
        <v>5</v>
      </c>
      <c r="L27" s="55"/>
      <c r="M27" s="35"/>
      <c r="N27" s="19"/>
      <c r="O27" s="6"/>
    </row>
    <row r="28" spans="1:15" ht="15">
      <c r="A28" s="239" t="s">
        <v>163</v>
      </c>
      <c r="B28" s="82" t="str">
        <f t="shared" si="0"/>
        <v>Not Eligible</v>
      </c>
      <c r="C28" s="82" t="str">
        <f t="shared" si="1"/>
        <v>Not Eligible</v>
      </c>
      <c r="D28" s="234" t="s">
        <v>298</v>
      </c>
      <c r="E28" s="387" t="s">
        <v>298</v>
      </c>
      <c r="F28" s="234" t="s">
        <v>298</v>
      </c>
      <c r="G28" s="17">
        <f t="shared" si="4"/>
        <v>188.26017566775306</v>
      </c>
      <c r="H28" s="5">
        <f t="shared" si="3"/>
        <v>11</v>
      </c>
      <c r="L28" s="55"/>
      <c r="M28" s="35"/>
      <c r="N28" s="19"/>
      <c r="O28" s="6"/>
    </row>
    <row r="29" spans="1:15" ht="15">
      <c r="A29" s="239" t="s">
        <v>124</v>
      </c>
      <c r="B29" s="82" t="str">
        <f t="shared" si="0"/>
        <v>Not Eligible</v>
      </c>
      <c r="C29" s="82" t="str">
        <f t="shared" si="1"/>
        <v>Not Eligible</v>
      </c>
      <c r="D29" s="234" t="s">
        <v>298</v>
      </c>
      <c r="E29" s="387" t="s">
        <v>298</v>
      </c>
      <c r="F29" s="234" t="s">
        <v>298</v>
      </c>
      <c r="G29" s="17">
        <f t="shared" si="4"/>
        <v>0</v>
      </c>
      <c r="H29" s="5">
        <f t="shared" si="3"/>
        <v>12</v>
      </c>
      <c r="L29" s="55"/>
      <c r="M29" s="35"/>
      <c r="N29" s="19"/>
      <c r="O29" s="6"/>
    </row>
    <row r="30" spans="1:15" ht="15">
      <c r="A30" s="239" t="s">
        <v>164</v>
      </c>
      <c r="B30" s="82" t="str">
        <f t="shared" si="0"/>
        <v>Not Eligible</v>
      </c>
      <c r="C30" s="82" t="str">
        <f t="shared" si="1"/>
        <v>Not Eligible</v>
      </c>
      <c r="D30" s="234" t="s">
        <v>298</v>
      </c>
      <c r="E30" s="387" t="s">
        <v>298</v>
      </c>
      <c r="F30" s="234" t="s">
        <v>298</v>
      </c>
      <c r="G30" s="17">
        <f t="shared" si="4"/>
        <v>201.00771313041258</v>
      </c>
      <c r="H30" s="5">
        <f t="shared" si="3"/>
        <v>10</v>
      </c>
      <c r="L30" s="55"/>
      <c r="M30" s="35"/>
      <c r="N30" s="19"/>
      <c r="O30" s="6"/>
    </row>
    <row r="31" spans="1:15" ht="15">
      <c r="A31" s="239" t="s">
        <v>165</v>
      </c>
      <c r="B31" s="82">
        <f t="shared" si="0"/>
        <v>94.58305829120124</v>
      </c>
      <c r="C31" s="82">
        <f t="shared" si="1"/>
        <v>168.26531368215467</v>
      </c>
      <c r="D31" s="234">
        <f>(H14+'Lab Emissions'!K15)/MSRP!D17</f>
        <v>4.8850473244777738E-2</v>
      </c>
      <c r="E31" s="168">
        <f t="shared" si="2"/>
        <v>115.15550330972957</v>
      </c>
      <c r="F31" s="234">
        <f>(F14+I14+M14+E14+L14)/MSRP!D17</f>
        <v>3.3216461797623303E-2</v>
      </c>
      <c r="G31" s="17">
        <f t="shared" si="4"/>
        <v>1253.5946886041727</v>
      </c>
      <c r="H31" s="5">
        <f t="shared" si="3"/>
        <v>1</v>
      </c>
      <c r="L31" s="55"/>
      <c r="M31" s="35"/>
      <c r="N31" s="19"/>
      <c r="O31" s="6"/>
    </row>
    <row r="32" spans="1:15" ht="15">
      <c r="A32" s="239" t="s">
        <v>166</v>
      </c>
      <c r="B32" s="82" t="str">
        <f t="shared" si="0"/>
        <v>Not Eligible</v>
      </c>
      <c r="C32" s="82" t="str">
        <f t="shared" si="1"/>
        <v>Not Eligible</v>
      </c>
      <c r="D32" s="234" t="s">
        <v>298</v>
      </c>
      <c r="E32" s="168">
        <f t="shared" si="2"/>
        <v>87.02654067714559</v>
      </c>
      <c r="F32" s="234" t="s">
        <v>298</v>
      </c>
      <c r="G32" s="17">
        <f t="shared" si="4"/>
        <v>308.22530164214533</v>
      </c>
      <c r="H32" s="5">
        <f t="shared" si="3"/>
        <v>8</v>
      </c>
      <c r="L32" s="55"/>
      <c r="M32" s="35"/>
      <c r="N32" s="19"/>
      <c r="O32" s="6"/>
    </row>
    <row r="33" spans="1:15" s="171" customFormat="1" ht="15">
      <c r="A33" s="239" t="s">
        <v>167</v>
      </c>
      <c r="B33" s="82" t="str">
        <f t="shared" si="0"/>
        <v>Not Eligible</v>
      </c>
      <c r="C33" s="82" t="str">
        <f t="shared" si="1"/>
        <v>Not Eligible</v>
      </c>
      <c r="D33" s="234" t="s">
        <v>298</v>
      </c>
      <c r="E33" s="168">
        <f>E16+M16</f>
        <v>97.3880218835628</v>
      </c>
      <c r="F33" s="234" t="s">
        <v>298</v>
      </c>
      <c r="G33" s="17">
        <f t="shared" si="4"/>
        <v>410.57528661618807</v>
      </c>
      <c r="H33" s="5">
        <f t="shared" si="3"/>
        <v>7</v>
      </c>
      <c r="J33" s="230"/>
      <c r="K33" s="209"/>
      <c r="L33" s="138"/>
      <c r="M33" s="172"/>
      <c r="N33" s="173"/>
      <c r="O33" s="174"/>
    </row>
    <row r="34" spans="1:15" s="68" customFormat="1">
      <c r="A34" s="133"/>
      <c r="B34" s="205"/>
      <c r="C34" s="205"/>
      <c r="D34" s="206"/>
      <c r="E34" s="206"/>
      <c r="F34" s="206"/>
      <c r="G34" s="203"/>
      <c r="H34" s="208"/>
      <c r="I34" s="69"/>
      <c r="J34" s="37"/>
      <c r="K34" s="138"/>
      <c r="L34" s="69"/>
      <c r="M34" s="69"/>
      <c r="N34" s="69"/>
      <c r="O34" s="38"/>
    </row>
    <row r="35" spans="1:15" s="68" customFormat="1">
      <c r="A35" s="133"/>
      <c r="B35" s="205"/>
      <c r="C35" s="205"/>
      <c r="D35" s="206"/>
      <c r="E35" s="207"/>
      <c r="F35" s="206"/>
      <c r="G35" s="203"/>
      <c r="H35" s="208"/>
      <c r="I35" s="69"/>
      <c r="J35" s="37"/>
      <c r="K35" s="138"/>
      <c r="L35" s="69"/>
      <c r="M35" s="69"/>
      <c r="N35" s="69"/>
      <c r="O35" s="38"/>
    </row>
    <row r="36" spans="1:15" s="68" customFormat="1">
      <c r="F36" s="82"/>
      <c r="G36" s="37"/>
      <c r="H36" s="69"/>
      <c r="I36" s="69"/>
      <c r="J36" s="37"/>
      <c r="K36" s="138"/>
      <c r="L36" s="69"/>
      <c r="M36" s="69"/>
      <c r="N36" s="69"/>
      <c r="O36" s="38"/>
    </row>
    <row r="37" spans="1:15" s="68" customFormat="1" ht="15">
      <c r="A37" s="80" t="s">
        <v>98</v>
      </c>
      <c r="B37" s="378" t="str">
        <f>A31</f>
        <v xml:space="preserve">#12Clarkson University </v>
      </c>
      <c r="C37" s="27"/>
      <c r="D37" s="27"/>
      <c r="E37" s="81"/>
      <c r="F37" s="82"/>
      <c r="G37" s="37"/>
      <c r="H37" s="69"/>
      <c r="I37" s="38"/>
      <c r="J37" s="231"/>
      <c r="K37" s="138"/>
      <c r="L37" s="38"/>
      <c r="M37" s="38"/>
      <c r="N37" s="38"/>
      <c r="O37" s="38"/>
    </row>
    <row r="38" spans="1:15" s="68" customFormat="1" ht="15">
      <c r="A38" s="80" t="s">
        <v>73</v>
      </c>
      <c r="B38" s="378" t="str">
        <f>A21</f>
        <v>#1Univ of Wisconsin - Madison</v>
      </c>
      <c r="C38" s="27"/>
      <c r="D38" s="27"/>
      <c r="E38" s="81"/>
      <c r="F38" s="17"/>
      <c r="G38" s="37"/>
      <c r="H38" s="69"/>
      <c r="I38" s="38"/>
      <c r="J38" s="231"/>
      <c r="K38" s="138"/>
      <c r="L38" s="38"/>
      <c r="M38" s="38"/>
      <c r="N38" s="38"/>
      <c r="O38" s="38"/>
    </row>
    <row r="39" spans="1:15" s="68" customFormat="1" ht="15">
      <c r="A39" s="80" t="s">
        <v>105</v>
      </c>
      <c r="B39" s="378" t="str">
        <f>A23</f>
        <v>#3Univ of Idaho</v>
      </c>
      <c r="C39" s="27"/>
      <c r="D39" s="27"/>
      <c r="E39" s="81"/>
      <c r="F39" s="82"/>
      <c r="G39" s="37"/>
      <c r="H39" s="69"/>
      <c r="I39" s="38"/>
      <c r="J39" s="231"/>
      <c r="K39" s="138"/>
      <c r="L39" s="38"/>
      <c r="M39" s="38"/>
      <c r="N39" s="38"/>
      <c r="O39" s="38"/>
    </row>
    <row r="40" spans="1:15" s="68" customFormat="1" ht="15">
      <c r="A40" s="80" t="s">
        <v>212</v>
      </c>
      <c r="B40" s="378" t="str">
        <f>A24</f>
        <v>#4SUNY Buffalo</v>
      </c>
      <c r="C40" s="27"/>
      <c r="D40" s="27"/>
      <c r="E40" s="81"/>
      <c r="F40" s="38"/>
      <c r="G40" s="38"/>
      <c r="H40" s="38"/>
      <c r="I40" s="38"/>
      <c r="J40" s="231"/>
      <c r="K40" s="138"/>
      <c r="L40" s="38"/>
      <c r="M40" s="38"/>
      <c r="N40" s="38"/>
      <c r="O40" s="38"/>
    </row>
    <row r="41" spans="1:15" s="68" customFormat="1" ht="15">
      <c r="A41" s="80" t="s">
        <v>74</v>
      </c>
      <c r="B41" s="378" t="str">
        <f>A27</f>
        <v>#7Univ of Wisconsin - Platteville</v>
      </c>
      <c r="C41" s="27"/>
      <c r="D41" s="27"/>
      <c r="E41" s="81"/>
      <c r="F41" s="38"/>
      <c r="G41" s="38"/>
      <c r="H41" s="38"/>
      <c r="I41" s="38"/>
      <c r="J41" s="231"/>
      <c r="K41" s="138"/>
      <c r="L41" s="38"/>
      <c r="M41" s="38"/>
      <c r="N41" s="38"/>
      <c r="O41" s="38"/>
    </row>
    <row r="42" spans="1:15" s="68" customFormat="1" ht="15">
      <c r="A42" s="80" t="s">
        <v>81</v>
      </c>
      <c r="B42" s="435" t="str">
        <f>A31</f>
        <v xml:space="preserve">#12Clarkson University </v>
      </c>
      <c r="C42" s="318"/>
      <c r="D42" s="27"/>
      <c r="E42" s="81"/>
      <c r="F42" s="38"/>
      <c r="G42" s="38"/>
      <c r="H42" s="38"/>
      <c r="I42" s="38"/>
      <c r="J42" s="231"/>
      <c r="K42" s="138"/>
      <c r="L42" s="38"/>
      <c r="M42" s="38"/>
      <c r="N42" s="38"/>
      <c r="O42" s="38"/>
    </row>
    <row r="43" spans="1:15" s="68" customFormat="1" ht="15">
      <c r="A43" s="80" t="s">
        <v>75</v>
      </c>
      <c r="B43" s="436" t="str">
        <f>A31</f>
        <v xml:space="preserve">#12Clarkson University </v>
      </c>
      <c r="C43" s="241"/>
      <c r="D43" s="81"/>
      <c r="E43" s="81"/>
      <c r="F43" s="38"/>
      <c r="G43" s="38"/>
      <c r="H43" s="38"/>
      <c r="I43" s="38"/>
      <c r="J43" s="231"/>
      <c r="K43" s="138"/>
      <c r="L43" s="38"/>
      <c r="M43" s="38"/>
      <c r="N43" s="38"/>
      <c r="O43" s="38"/>
    </row>
    <row r="44" spans="1:15" s="68" customFormat="1" ht="15">
      <c r="A44" s="80" t="s">
        <v>116</v>
      </c>
      <c r="B44" s="378" t="str">
        <f>A21</f>
        <v>#1Univ of Wisconsin - Madison</v>
      </c>
      <c r="C44" s="242"/>
      <c r="D44" s="83"/>
      <c r="E44" s="83"/>
      <c r="F44" s="38"/>
      <c r="G44" s="38"/>
      <c r="H44" s="38"/>
      <c r="I44" s="38"/>
      <c r="J44" s="231"/>
      <c r="K44" s="138"/>
      <c r="L44" s="38"/>
      <c r="M44" s="38"/>
      <c r="N44" s="38"/>
      <c r="O44" s="38"/>
    </row>
    <row r="45" spans="1:15" ht="15">
      <c r="A45" s="170" t="s">
        <v>117</v>
      </c>
      <c r="B45" s="378" t="str">
        <f>A21</f>
        <v>#1Univ of Wisconsin - Madison</v>
      </c>
      <c r="C45" s="183"/>
    </row>
    <row r="46" spans="1:15" s="68" customFormat="1" ht="15">
      <c r="A46" s="80" t="s">
        <v>76</v>
      </c>
      <c r="B46" s="378" t="str">
        <f>A21</f>
        <v>#1Univ of Wisconsin - Madison</v>
      </c>
      <c r="C46" s="10"/>
      <c r="D46" s="83"/>
      <c r="E46" s="83"/>
      <c r="F46" s="38"/>
      <c r="G46" s="38"/>
      <c r="H46" s="38"/>
      <c r="I46" s="38"/>
      <c r="J46" s="231"/>
      <c r="K46" s="138"/>
      <c r="L46" s="38"/>
      <c r="M46" s="38"/>
      <c r="N46" s="38"/>
      <c r="O46" s="38"/>
    </row>
    <row r="47" spans="1:15" s="68" customFormat="1" ht="15">
      <c r="A47" s="80" t="s">
        <v>77</v>
      </c>
      <c r="B47" s="378" t="str">
        <f>A31</f>
        <v xml:space="preserve">#12Clarkson University </v>
      </c>
      <c r="C47" s="10"/>
      <c r="D47" s="83"/>
      <c r="E47" s="83"/>
      <c r="F47" s="38"/>
      <c r="G47" s="38"/>
      <c r="H47" s="38"/>
      <c r="I47" s="38"/>
      <c r="J47" s="231"/>
      <c r="K47" s="138"/>
      <c r="L47" s="38"/>
      <c r="M47" s="38"/>
      <c r="N47" s="38"/>
      <c r="O47" s="38"/>
    </row>
    <row r="48" spans="1:15" s="68" customFormat="1" ht="15">
      <c r="A48" s="80" t="s">
        <v>78</v>
      </c>
      <c r="B48" s="378" t="str">
        <f>A31</f>
        <v xml:space="preserve">#12Clarkson University </v>
      </c>
      <c r="C48" s="10"/>
      <c r="D48" s="83"/>
      <c r="E48" s="83"/>
      <c r="F48" s="38"/>
      <c r="G48" s="38"/>
      <c r="H48" s="38"/>
      <c r="I48" s="38"/>
      <c r="J48" s="231"/>
      <c r="K48" s="138"/>
      <c r="L48" s="38"/>
      <c r="M48" s="38"/>
      <c r="N48" s="38"/>
      <c r="O48" s="38"/>
    </row>
    <row r="49" spans="1:15" ht="15">
      <c r="A49" s="80" t="s">
        <v>79</v>
      </c>
      <c r="B49" s="378" t="str">
        <f>A31</f>
        <v xml:space="preserve">#12Clarkson University </v>
      </c>
      <c r="C49" s="10"/>
      <c r="D49" s="83"/>
      <c r="E49" s="83"/>
      <c r="F49" s="38"/>
      <c r="G49" s="38"/>
      <c r="H49" s="38"/>
      <c r="I49" s="6"/>
      <c r="J49" s="228"/>
      <c r="K49" s="18"/>
      <c r="L49" s="6"/>
      <c r="M49" s="6"/>
      <c r="N49" s="6"/>
      <c r="O49" s="6"/>
    </row>
    <row r="50" spans="1:15" ht="15">
      <c r="A50" s="80" t="s">
        <v>80</v>
      </c>
      <c r="B50" s="378" t="str">
        <f>A31</f>
        <v xml:space="preserve">#12Clarkson University </v>
      </c>
      <c r="C50" s="10"/>
      <c r="D50" s="83"/>
      <c r="E50" s="21"/>
      <c r="F50" s="38"/>
      <c r="G50" s="38"/>
      <c r="H50" s="38"/>
    </row>
    <row r="51" spans="1:15" ht="15">
      <c r="A51" s="233" t="s">
        <v>95</v>
      </c>
      <c r="B51" s="378" t="str">
        <f>A27</f>
        <v>#7Univ of Wisconsin - Platteville</v>
      </c>
      <c r="C51" s="10"/>
      <c r="D51" s="83"/>
      <c r="E51" s="83"/>
      <c r="F51" s="6"/>
      <c r="G51" s="6"/>
      <c r="H51" s="6"/>
    </row>
    <row r="52" spans="1:15" ht="15">
      <c r="A52" s="233" t="s">
        <v>82</v>
      </c>
      <c r="B52" s="378" t="str">
        <f>A31</f>
        <v xml:space="preserve">#12Clarkson University </v>
      </c>
      <c r="C52" s="10"/>
      <c r="D52" s="83"/>
      <c r="E52" s="83"/>
    </row>
    <row r="53" spans="1:15" ht="15">
      <c r="A53" s="233" t="s">
        <v>311</v>
      </c>
      <c r="B53" s="378" t="str">
        <f>A32</f>
        <v xml:space="preserve">#13Univ of Alaska - Fairbanks </v>
      </c>
      <c r="C53" s="10"/>
      <c r="D53" s="83"/>
      <c r="E53" s="83"/>
    </row>
    <row r="54" spans="1:15">
      <c r="A54" s="233" t="s">
        <v>118</v>
      </c>
      <c r="B54" s="437" t="s">
        <v>312</v>
      </c>
      <c r="C54" s="10"/>
      <c r="D54" s="83"/>
      <c r="E54" s="322"/>
    </row>
    <row r="55" spans="1:15" ht="15">
      <c r="A55" s="80" t="s">
        <v>213</v>
      </c>
      <c r="B55" s="378" t="str">
        <f>A23</f>
        <v>#3Univ of Idaho</v>
      </c>
      <c r="C55" s="10"/>
      <c r="D55" s="83"/>
      <c r="E55" s="83"/>
    </row>
    <row r="56" spans="1:15" ht="15">
      <c r="A56" s="170" t="s">
        <v>214</v>
      </c>
      <c r="B56" s="434" t="s">
        <v>313</v>
      </c>
      <c r="C56" s="136"/>
      <c r="E56" s="321"/>
    </row>
    <row r="57" spans="1:15" ht="15">
      <c r="A57" s="170" t="s">
        <v>215</v>
      </c>
      <c r="B57" s="434" t="s">
        <v>314</v>
      </c>
      <c r="C57" s="136"/>
    </row>
    <row r="58" spans="1:15" ht="15">
      <c r="A58" s="80" t="s">
        <v>157</v>
      </c>
      <c r="B58" s="378" t="s">
        <v>315</v>
      </c>
      <c r="C58" s="183"/>
    </row>
    <row r="59" spans="1:15" ht="15">
      <c r="A59" s="170" t="s">
        <v>158</v>
      </c>
      <c r="B59" s="434" t="s">
        <v>316</v>
      </c>
      <c r="C59" s="136"/>
    </row>
    <row r="60" spans="1:15" ht="15">
      <c r="A60" s="170" t="s">
        <v>216</v>
      </c>
      <c r="B60" s="436" t="str">
        <f>A33</f>
        <v xml:space="preserve">#14Ecole De Technologie Superieure </v>
      </c>
      <c r="C60" s="183"/>
    </row>
    <row r="62" spans="1:15" s="1" customFormat="1">
      <c r="A62" s="235"/>
      <c r="J62" s="236"/>
      <c r="K62" s="62"/>
    </row>
    <row r="63" spans="1:15" s="1" customFormat="1">
      <c r="A63" s="237"/>
      <c r="J63" s="236"/>
      <c r="K63" s="62"/>
    </row>
    <row r="64" spans="1:15" s="1" customFormat="1">
      <c r="A64" s="237"/>
      <c r="J64" s="236"/>
      <c r="K64" s="62"/>
    </row>
    <row r="65" spans="1:11" s="1" customFormat="1">
      <c r="A65" s="237"/>
      <c r="J65" s="236"/>
      <c r="K65" s="62"/>
    </row>
    <row r="66" spans="1:11" s="1" customFormat="1">
      <c r="A66" s="237"/>
      <c r="J66" s="236"/>
      <c r="K66" s="62"/>
    </row>
    <row r="67" spans="1:11" s="1" customFormat="1">
      <c r="A67" s="237"/>
      <c r="J67" s="236"/>
      <c r="K67" s="62"/>
    </row>
    <row r="68" spans="1:11" s="1" customFormat="1">
      <c r="A68" s="237"/>
      <c r="J68" s="236"/>
      <c r="K68" s="62"/>
    </row>
    <row r="69" spans="1:11" s="1" customFormat="1">
      <c r="A69" s="237"/>
      <c r="J69" s="236"/>
      <c r="K69" s="62"/>
    </row>
    <row r="70" spans="1:11" s="1" customFormat="1">
      <c r="A70" s="237"/>
      <c r="J70" s="236"/>
      <c r="K70" s="62"/>
    </row>
    <row r="71" spans="1:11" s="1" customFormat="1">
      <c r="A71" s="237"/>
      <c r="J71" s="236"/>
      <c r="K71" s="62"/>
    </row>
  </sheetData>
  <phoneticPr fontId="18" type="noConversion"/>
  <printOptions gridLines="1"/>
  <pageMargins left="0.75" right="0.75" top="1" bottom="1" header="0.5" footer="0.5"/>
  <pageSetup scale="53" orientation="landscape" horizontalDpi="4294967294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97"/>
  <sheetViews>
    <sheetView workbookViewId="0">
      <selection activeCell="J28" sqref="J28"/>
    </sheetView>
  </sheetViews>
  <sheetFormatPr defaultRowHeight="12.75"/>
  <cols>
    <col min="1" max="1" width="40.85546875" customWidth="1"/>
    <col min="2" max="2" width="11.28515625" customWidth="1"/>
    <col min="3" max="3" width="12.5703125" customWidth="1"/>
    <col min="4" max="4" width="8.5703125" customWidth="1"/>
    <col min="5" max="5" width="12.42578125" customWidth="1"/>
    <col min="6" max="6" width="10.7109375" customWidth="1"/>
    <col min="7" max="8" width="12.42578125" customWidth="1"/>
    <col min="9" max="10" width="9.28515625" customWidth="1"/>
    <col min="11" max="11" width="7.140625" customWidth="1"/>
    <col min="13" max="13" width="10" customWidth="1"/>
    <col min="14" max="14" width="8.7109375" style="3" customWidth="1"/>
    <col min="15" max="15" width="10.7109375" style="3" customWidth="1"/>
    <col min="16" max="16" width="8.7109375" style="3" customWidth="1"/>
    <col min="17" max="17" width="3" style="3" customWidth="1"/>
    <col min="18" max="24" width="8.7109375" style="41" customWidth="1"/>
    <col min="25" max="25" width="10" style="41" customWidth="1"/>
    <col min="26" max="27" width="8.7109375" style="41" customWidth="1"/>
    <col min="28" max="28" width="8.7109375" customWidth="1"/>
    <col min="29" max="29" width="2.140625" customWidth="1"/>
    <col min="30" max="30" width="16.28515625" style="3" customWidth="1"/>
    <col min="31" max="31" width="12.7109375" style="3" customWidth="1"/>
    <col min="32" max="35" width="8.7109375" customWidth="1"/>
  </cols>
  <sheetData>
    <row r="1" spans="1:37" ht="19.5" thickBot="1">
      <c r="A1" s="122" t="s">
        <v>209</v>
      </c>
      <c r="B1" s="122"/>
      <c r="C1" s="21"/>
      <c r="D1" s="21"/>
      <c r="E1" s="21"/>
      <c r="F1" s="21"/>
      <c r="G1" s="21"/>
      <c r="H1" s="21"/>
      <c r="I1" s="21"/>
      <c r="J1" s="256" t="s">
        <v>132</v>
      </c>
      <c r="K1" s="257"/>
      <c r="L1" s="257"/>
      <c r="M1" s="21"/>
      <c r="N1" s="256" t="s">
        <v>133</v>
      </c>
      <c r="O1" s="257"/>
      <c r="P1" s="257"/>
      <c r="Q1" s="28"/>
      <c r="R1" s="123"/>
      <c r="S1" s="86"/>
      <c r="T1" s="87"/>
      <c r="U1" s="87"/>
      <c r="V1" s="87"/>
      <c r="W1" s="87"/>
      <c r="X1" s="87"/>
      <c r="Y1" s="87"/>
      <c r="Z1" s="87"/>
      <c r="AA1" s="87"/>
      <c r="AB1" s="88"/>
      <c r="AC1" s="89"/>
      <c r="AD1" s="90"/>
      <c r="AE1" s="62"/>
      <c r="AF1" s="1"/>
      <c r="AG1" s="1"/>
      <c r="AH1" s="1"/>
    </row>
    <row r="2" spans="1:37" ht="19.5" thickBot="1">
      <c r="A2" s="122"/>
      <c r="B2" s="122"/>
      <c r="C2" s="21"/>
      <c r="D2" s="21"/>
      <c r="E2" s="21"/>
      <c r="F2" s="21"/>
      <c r="G2" s="21"/>
      <c r="H2" s="24"/>
      <c r="I2" s="24"/>
      <c r="J2" s="258" t="s">
        <v>134</v>
      </c>
      <c r="K2" s="259"/>
      <c r="L2" s="260"/>
      <c r="M2" s="21"/>
      <c r="N2" s="261" t="s">
        <v>135</v>
      </c>
      <c r="O2" s="259"/>
      <c r="P2" s="260"/>
      <c r="Q2" s="53"/>
      <c r="R2" s="125"/>
      <c r="S2" s="93"/>
      <c r="T2" s="93"/>
      <c r="U2" s="87"/>
      <c r="V2" s="87"/>
      <c r="W2" s="87"/>
      <c r="X2" s="87"/>
      <c r="Y2" s="87"/>
      <c r="Z2" s="87"/>
      <c r="AA2" s="87"/>
      <c r="AB2" s="88"/>
      <c r="AC2" s="89"/>
      <c r="AD2" s="90"/>
      <c r="AE2" s="62"/>
      <c r="AF2" s="1"/>
      <c r="AG2" s="1"/>
      <c r="AH2" s="1"/>
    </row>
    <row r="3" spans="1:37">
      <c r="A3" s="80"/>
      <c r="B3" s="80"/>
      <c r="C3" s="24"/>
      <c r="D3" s="24"/>
      <c r="E3" s="24"/>
      <c r="F3" s="24"/>
      <c r="G3" s="24"/>
      <c r="J3" s="262"/>
      <c r="K3" s="24"/>
      <c r="L3" s="263"/>
      <c r="M3" s="24"/>
      <c r="N3" s="264"/>
      <c r="O3" s="24"/>
      <c r="P3" s="263"/>
      <c r="Q3" s="23"/>
      <c r="R3" s="126"/>
      <c r="S3" s="95"/>
      <c r="T3" s="93"/>
      <c r="U3" s="87"/>
      <c r="V3" s="87"/>
      <c r="W3" s="87"/>
      <c r="X3" s="87"/>
      <c r="Y3" s="87"/>
      <c r="Z3" s="87"/>
      <c r="AA3" s="87"/>
      <c r="AB3" s="88"/>
      <c r="AC3" s="89"/>
      <c r="AD3" s="90"/>
      <c r="AE3" s="62"/>
      <c r="AF3" s="1"/>
      <c r="AG3" s="1"/>
      <c r="AH3" s="1"/>
    </row>
    <row r="4" spans="1:37" ht="51">
      <c r="A4" s="265" t="s">
        <v>136</v>
      </c>
      <c r="B4" s="265" t="s">
        <v>137</v>
      </c>
      <c r="C4" s="266" t="s">
        <v>138</v>
      </c>
      <c r="D4" s="266" t="s">
        <v>139</v>
      </c>
      <c r="E4" s="266" t="s">
        <v>140</v>
      </c>
      <c r="F4" s="266" t="s">
        <v>141</v>
      </c>
      <c r="G4" s="267" t="s">
        <v>142</v>
      </c>
      <c r="H4" s="266" t="s">
        <v>143</v>
      </c>
      <c r="I4" s="268"/>
      <c r="J4" s="269" t="s">
        <v>144</v>
      </c>
      <c r="K4" s="267" t="s">
        <v>145</v>
      </c>
      <c r="L4" s="270" t="s">
        <v>146</v>
      </c>
      <c r="M4" s="271"/>
      <c r="N4" s="269" t="s">
        <v>147</v>
      </c>
      <c r="O4" s="267" t="s">
        <v>156</v>
      </c>
      <c r="P4" s="270" t="s">
        <v>113</v>
      </c>
      <c r="Q4" s="23"/>
      <c r="R4" s="126"/>
      <c r="S4" s="95"/>
      <c r="T4" s="93"/>
      <c r="U4" s="87"/>
      <c r="V4" s="87"/>
      <c r="W4" s="87"/>
      <c r="X4" s="87"/>
      <c r="Y4" s="87"/>
      <c r="Z4" s="87"/>
      <c r="AA4" s="87"/>
      <c r="AB4" s="88"/>
      <c r="AC4" s="89"/>
      <c r="AD4" s="90"/>
      <c r="AE4" s="62"/>
      <c r="AF4" s="1"/>
      <c r="AG4" s="1"/>
      <c r="AH4" s="1"/>
    </row>
    <row r="5" spans="1:37" ht="15">
      <c r="A5" s="239" t="s">
        <v>120</v>
      </c>
      <c r="B5" t="s">
        <v>61</v>
      </c>
      <c r="C5" t="s">
        <v>61</v>
      </c>
      <c r="D5" t="s">
        <v>61</v>
      </c>
      <c r="E5" t="s">
        <v>61</v>
      </c>
      <c r="F5" t="s">
        <v>61</v>
      </c>
      <c r="G5" t="s">
        <v>61</v>
      </c>
      <c r="H5" t="s">
        <v>61</v>
      </c>
      <c r="I5" s="413"/>
      <c r="J5">
        <v>206.88</v>
      </c>
      <c r="K5" s="416">
        <f t="shared" ref="K5:K17" si="0">IF(J5&gt;=100,100+200*(((J5/Emin)^2-1)/((Emax/Emin)^2-1)), )</f>
        <v>300</v>
      </c>
      <c r="L5" s="272">
        <f t="shared" ref="L5:L18" si="1">RANK(K5,K$5:K$17)</f>
        <v>1</v>
      </c>
      <c r="M5" s="273"/>
      <c r="N5" s="443">
        <v>691.25</v>
      </c>
      <c r="O5" s="388">
        <f t="shared" ref="O5:O17" si="2">IF(N5&gt;0,50*(((Bmax/N5)^2-1)/((Bmax/Bmin)^2-1)),0)</f>
        <v>22.266217317671526</v>
      </c>
      <c r="P5" s="272">
        <f t="shared" ref="P5:P17" si="3">RANK(O5,O$5:O$17)</f>
        <v>5</v>
      </c>
      <c r="Q5" s="28"/>
      <c r="R5" s="390">
        <f>K5+O5</f>
        <v>322.26621731767153</v>
      </c>
      <c r="S5" s="86"/>
      <c r="T5" s="86"/>
      <c r="U5" s="86"/>
      <c r="V5" s="86"/>
      <c r="W5" s="86"/>
      <c r="X5" s="86"/>
      <c r="Y5" s="86"/>
      <c r="Z5" s="86"/>
      <c r="AA5" s="86"/>
      <c r="AB5" s="85"/>
      <c r="AC5" s="96"/>
      <c r="AD5" s="97"/>
    </row>
    <row r="6" spans="1:37" ht="15">
      <c r="A6" s="239" t="s">
        <v>121</v>
      </c>
      <c r="B6" t="s">
        <v>61</v>
      </c>
      <c r="C6" t="s">
        <v>61</v>
      </c>
      <c r="D6" t="s">
        <v>148</v>
      </c>
      <c r="E6" t="s">
        <v>61</v>
      </c>
      <c r="F6" t="s">
        <v>61</v>
      </c>
      <c r="G6" t="s">
        <v>61</v>
      </c>
      <c r="H6" t="s">
        <v>148</v>
      </c>
      <c r="I6" s="413"/>
      <c r="K6" s="416">
        <f t="shared" si="0"/>
        <v>0</v>
      </c>
      <c r="L6" s="272">
        <f t="shared" si="1"/>
        <v>5</v>
      </c>
      <c r="M6" s="273"/>
      <c r="N6" s="443">
        <v>888.97</v>
      </c>
      <c r="O6" s="388">
        <f t="shared" si="2"/>
        <v>1.6635704193190013</v>
      </c>
      <c r="P6" s="272">
        <f t="shared" si="3"/>
        <v>8</v>
      </c>
      <c r="Q6" s="28"/>
      <c r="R6" s="390">
        <f t="shared" ref="R6:R17" si="4">K6+O6</f>
        <v>1.6635704193190013</v>
      </c>
      <c r="S6" s="86"/>
      <c r="T6" s="86"/>
      <c r="U6" s="86"/>
      <c r="V6" s="86"/>
      <c r="W6" s="86"/>
      <c r="X6" s="86"/>
      <c r="Y6" s="86"/>
      <c r="Z6" s="86"/>
      <c r="AA6" s="86"/>
      <c r="AB6" s="85"/>
      <c r="AC6" s="96"/>
      <c r="AD6" s="97"/>
      <c r="AJ6" s="31"/>
      <c r="AK6" s="31"/>
    </row>
    <row r="7" spans="1:37" ht="15">
      <c r="A7" s="239" t="s">
        <v>122</v>
      </c>
      <c r="B7" t="s">
        <v>61</v>
      </c>
      <c r="C7" t="s">
        <v>61</v>
      </c>
      <c r="D7" t="s">
        <v>61</v>
      </c>
      <c r="E7" t="s">
        <v>61</v>
      </c>
      <c r="F7" t="s">
        <v>61</v>
      </c>
      <c r="G7" t="s">
        <v>61</v>
      </c>
      <c r="H7" t="s">
        <v>61</v>
      </c>
      <c r="I7" s="413"/>
      <c r="J7">
        <v>114.57</v>
      </c>
      <c r="K7" s="416">
        <f t="shared" si="0"/>
        <v>100</v>
      </c>
      <c r="L7" s="272">
        <f t="shared" si="1"/>
        <v>4</v>
      </c>
      <c r="M7" s="273"/>
      <c r="N7" s="443">
        <v>668.4</v>
      </c>
      <c r="O7" s="388">
        <f t="shared" si="2"/>
        <v>25.89006155856362</v>
      </c>
      <c r="P7" s="272">
        <f t="shared" si="3"/>
        <v>3</v>
      </c>
      <c r="Q7" s="28"/>
      <c r="R7" s="390">
        <f t="shared" si="4"/>
        <v>125.89006155856362</v>
      </c>
      <c r="S7" s="86"/>
      <c r="T7" s="86"/>
      <c r="U7" s="86"/>
      <c r="V7" s="86"/>
      <c r="W7" s="86"/>
      <c r="X7" s="86"/>
      <c r="Y7" s="86"/>
      <c r="Z7" s="86"/>
      <c r="AA7" s="86"/>
      <c r="AB7" s="85"/>
      <c r="AC7" s="96"/>
      <c r="AD7" s="97"/>
      <c r="AJ7" s="31"/>
      <c r="AK7" s="31"/>
    </row>
    <row r="8" spans="1:37" s="243" customFormat="1" ht="15">
      <c r="A8" s="287" t="s">
        <v>160</v>
      </c>
      <c r="B8" t="s">
        <v>61</v>
      </c>
      <c r="C8" t="s">
        <v>61</v>
      </c>
      <c r="D8" t="s">
        <v>61</v>
      </c>
      <c r="E8" t="s">
        <v>61</v>
      </c>
      <c r="F8" t="s">
        <v>61</v>
      </c>
      <c r="G8" t="s">
        <v>61</v>
      </c>
      <c r="H8" t="s">
        <v>61</v>
      </c>
      <c r="I8" s="413"/>
      <c r="J8">
        <v>199.03</v>
      </c>
      <c r="K8" s="416">
        <f t="shared" si="0"/>
        <v>278.52331625032332</v>
      </c>
      <c r="L8" s="272">
        <f t="shared" si="1"/>
        <v>2</v>
      </c>
      <c r="M8" s="297"/>
      <c r="N8" s="443">
        <v>717.33</v>
      </c>
      <c r="O8" s="388">
        <f t="shared" si="2"/>
        <v>18.545898233007627</v>
      </c>
      <c r="P8" s="272">
        <f t="shared" si="3"/>
        <v>6</v>
      </c>
      <c r="Q8" s="292"/>
      <c r="R8" s="390">
        <f t="shared" si="4"/>
        <v>297.06921448333094</v>
      </c>
      <c r="S8" s="298"/>
      <c r="T8" s="298"/>
      <c r="U8" s="298"/>
      <c r="V8" s="298"/>
      <c r="W8" s="298"/>
      <c r="X8" s="298"/>
      <c r="Y8" s="298"/>
      <c r="Z8" s="298"/>
      <c r="AA8" s="298"/>
      <c r="AB8" s="255"/>
      <c r="AD8" s="248"/>
      <c r="AE8" s="248"/>
      <c r="AJ8" s="299"/>
      <c r="AK8" s="299"/>
    </row>
    <row r="9" spans="1:37" ht="15">
      <c r="A9" s="287" t="s">
        <v>161</v>
      </c>
      <c r="B9" t="s">
        <v>61</v>
      </c>
      <c r="C9" t="s">
        <v>61</v>
      </c>
      <c r="D9" t="s">
        <v>148</v>
      </c>
      <c r="E9" t="s">
        <v>61</v>
      </c>
      <c r="F9" t="s">
        <v>61</v>
      </c>
      <c r="G9" t="s">
        <v>61</v>
      </c>
      <c r="H9" t="s">
        <v>148</v>
      </c>
      <c r="I9" s="413"/>
      <c r="K9" s="416">
        <f t="shared" si="0"/>
        <v>0</v>
      </c>
      <c r="L9" s="272">
        <f t="shared" si="1"/>
        <v>5</v>
      </c>
      <c r="M9" s="297"/>
      <c r="N9" s="443">
        <v>887.94</v>
      </c>
      <c r="O9" s="388">
        <f t="shared" si="2"/>
        <v>1.7367113643001462</v>
      </c>
      <c r="P9" s="272">
        <f t="shared" si="3"/>
        <v>7</v>
      </c>
      <c r="Q9" s="28"/>
      <c r="R9" s="390">
        <f t="shared" si="4"/>
        <v>1.7367113643001462</v>
      </c>
      <c r="S9" s="86"/>
      <c r="T9" s="86"/>
      <c r="U9" s="86"/>
      <c r="V9" s="86"/>
      <c r="W9" s="86"/>
      <c r="X9" s="86"/>
      <c r="Y9" s="86"/>
      <c r="Z9" s="86"/>
      <c r="AA9" s="86"/>
      <c r="AB9" s="85"/>
      <c r="AC9" s="96"/>
      <c r="AD9" s="97"/>
      <c r="AJ9" s="31"/>
      <c r="AK9" s="31"/>
    </row>
    <row r="10" spans="1:37" ht="15">
      <c r="A10" s="239" t="s">
        <v>162</v>
      </c>
      <c r="I10" s="414"/>
      <c r="K10" s="416">
        <f t="shared" si="0"/>
        <v>0</v>
      </c>
      <c r="L10" s="272">
        <f t="shared" si="1"/>
        <v>5</v>
      </c>
      <c r="M10" s="273"/>
      <c r="N10" s="443"/>
      <c r="O10" s="388">
        <f t="shared" si="2"/>
        <v>0</v>
      </c>
      <c r="P10" s="272">
        <f t="shared" si="3"/>
        <v>9</v>
      </c>
      <c r="Q10" s="28"/>
      <c r="R10" s="390">
        <f t="shared" si="4"/>
        <v>0</v>
      </c>
      <c r="S10" s="99"/>
      <c r="T10" s="99"/>
      <c r="U10" s="99"/>
      <c r="V10" s="86"/>
      <c r="W10" s="86"/>
      <c r="X10" s="86"/>
      <c r="Y10" s="86"/>
      <c r="Z10" s="86"/>
      <c r="AA10" s="86"/>
      <c r="AB10" s="85"/>
      <c r="AC10" s="96"/>
      <c r="AD10" s="97"/>
      <c r="AJ10" s="31"/>
      <c r="AK10" s="31"/>
    </row>
    <row r="11" spans="1:37" ht="15">
      <c r="A11" s="239" t="s">
        <v>123</v>
      </c>
      <c r="B11" t="s">
        <v>61</v>
      </c>
      <c r="C11" t="s">
        <v>61</v>
      </c>
      <c r="D11" t="s">
        <v>148</v>
      </c>
      <c r="E11" t="s">
        <v>61</v>
      </c>
      <c r="F11" t="s">
        <v>148</v>
      </c>
      <c r="G11" t="s">
        <v>61</v>
      </c>
      <c r="H11" t="s">
        <v>148</v>
      </c>
      <c r="I11" s="413"/>
      <c r="K11" s="416">
        <f t="shared" si="0"/>
        <v>0</v>
      </c>
      <c r="L11" s="272">
        <f t="shared" si="1"/>
        <v>5</v>
      </c>
      <c r="M11" s="273"/>
      <c r="N11" s="443">
        <v>681.04</v>
      </c>
      <c r="O11" s="388">
        <f t="shared" si="2"/>
        <v>23.840401244095645</v>
      </c>
      <c r="P11" s="272">
        <f t="shared" si="3"/>
        <v>4</v>
      </c>
      <c r="Q11" s="28"/>
      <c r="R11" s="390">
        <f t="shared" si="4"/>
        <v>23.840401244095645</v>
      </c>
      <c r="S11" s="99"/>
      <c r="T11" s="99"/>
      <c r="U11" s="99"/>
      <c r="V11" s="86"/>
      <c r="W11" s="86"/>
      <c r="X11" s="86"/>
      <c r="Y11" s="86"/>
      <c r="Z11" s="86"/>
      <c r="AA11" s="86"/>
      <c r="AB11" s="85"/>
      <c r="AC11" s="96"/>
      <c r="AD11" s="97"/>
      <c r="AJ11" s="31"/>
      <c r="AK11" s="31"/>
    </row>
    <row r="12" spans="1:37" ht="15">
      <c r="A12" s="239" t="s">
        <v>163</v>
      </c>
      <c r="I12" s="413"/>
      <c r="K12" s="416">
        <f t="shared" si="0"/>
        <v>0</v>
      </c>
      <c r="L12" s="272">
        <f t="shared" si="1"/>
        <v>5</v>
      </c>
      <c r="M12" s="273"/>
      <c r="N12" s="443"/>
      <c r="O12" s="388">
        <f t="shared" si="2"/>
        <v>0</v>
      </c>
      <c r="P12" s="272">
        <f t="shared" si="3"/>
        <v>9</v>
      </c>
      <c r="Q12" s="28"/>
      <c r="R12" s="390">
        <f t="shared" si="4"/>
        <v>0</v>
      </c>
      <c r="S12" s="99"/>
      <c r="T12" s="99"/>
      <c r="U12" s="99"/>
      <c r="V12" s="86"/>
      <c r="W12" s="86"/>
      <c r="X12" s="86"/>
      <c r="Y12" s="86"/>
      <c r="Z12" s="86"/>
      <c r="AA12" s="86"/>
      <c r="AB12" s="85"/>
      <c r="AC12" s="96"/>
      <c r="AD12" s="97"/>
      <c r="AJ12" s="31"/>
      <c r="AK12" s="31"/>
    </row>
    <row r="13" spans="1:37" ht="15">
      <c r="A13" s="239" t="s">
        <v>124</v>
      </c>
      <c r="I13" s="413"/>
      <c r="K13" s="416">
        <f t="shared" si="0"/>
        <v>0</v>
      </c>
      <c r="L13" s="272">
        <f t="shared" si="1"/>
        <v>5</v>
      </c>
      <c r="M13" s="273"/>
      <c r="N13" s="443"/>
      <c r="O13" s="388">
        <f t="shared" si="2"/>
        <v>0</v>
      </c>
      <c r="P13" s="272">
        <f t="shared" si="3"/>
        <v>9</v>
      </c>
      <c r="Q13" s="28"/>
      <c r="R13" s="390">
        <f t="shared" si="4"/>
        <v>0</v>
      </c>
      <c r="S13" s="86"/>
      <c r="T13" s="86"/>
      <c r="U13" s="86"/>
      <c r="V13" s="86"/>
      <c r="W13" s="86"/>
      <c r="X13" s="86"/>
      <c r="Y13" s="86"/>
      <c r="Z13" s="86"/>
      <c r="AA13" s="86"/>
      <c r="AB13" s="85"/>
      <c r="AC13" s="96"/>
      <c r="AD13" s="97"/>
      <c r="AJ13" s="31"/>
      <c r="AK13" s="31"/>
    </row>
    <row r="14" spans="1:37" ht="15">
      <c r="A14" s="239" t="s">
        <v>164</v>
      </c>
      <c r="I14" s="414"/>
      <c r="K14" s="416">
        <f t="shared" si="0"/>
        <v>0</v>
      </c>
      <c r="L14" s="272">
        <f t="shared" si="1"/>
        <v>5</v>
      </c>
      <c r="M14" s="273"/>
      <c r="N14" s="443"/>
      <c r="O14" s="388">
        <f t="shared" si="2"/>
        <v>0</v>
      </c>
      <c r="P14" s="272">
        <f t="shared" si="3"/>
        <v>9</v>
      </c>
      <c r="Q14" s="28"/>
      <c r="R14" s="390">
        <f t="shared" si="4"/>
        <v>0</v>
      </c>
      <c r="S14" s="86"/>
      <c r="T14" s="86"/>
      <c r="U14" s="86"/>
      <c r="V14" s="86"/>
      <c r="W14" s="86"/>
      <c r="X14" s="86"/>
      <c r="Y14" s="86"/>
      <c r="Z14" s="86"/>
      <c r="AA14" s="86"/>
      <c r="AB14" s="85"/>
      <c r="AC14" s="96"/>
      <c r="AD14" s="97"/>
      <c r="AJ14" s="31"/>
      <c r="AK14" s="31"/>
    </row>
    <row r="15" spans="1:37" s="146" customFormat="1" ht="15">
      <c r="A15" s="239" t="s">
        <v>165</v>
      </c>
      <c r="B15" t="s">
        <v>61</v>
      </c>
      <c r="C15" t="s">
        <v>61</v>
      </c>
      <c r="D15" t="s">
        <v>61</v>
      </c>
      <c r="E15" t="s">
        <v>61</v>
      </c>
      <c r="F15" t="s">
        <v>61</v>
      </c>
      <c r="G15" t="s">
        <v>61</v>
      </c>
      <c r="H15" t="s">
        <v>61</v>
      </c>
      <c r="I15" s="414"/>
      <c r="J15">
        <v>168.56</v>
      </c>
      <c r="K15" s="416">
        <f t="shared" si="0"/>
        <v>203.03079027991373</v>
      </c>
      <c r="L15" s="272">
        <f t="shared" si="1"/>
        <v>3</v>
      </c>
      <c r="M15" s="273"/>
      <c r="N15" s="443">
        <v>558.44000000000005</v>
      </c>
      <c r="O15" s="388">
        <f t="shared" si="2"/>
        <v>50</v>
      </c>
      <c r="P15" s="272">
        <f t="shared" si="3"/>
        <v>1</v>
      </c>
      <c r="Q15" s="155"/>
      <c r="R15" s="390">
        <f t="shared" si="4"/>
        <v>253.03079027991373</v>
      </c>
      <c r="S15" s="157"/>
      <c r="T15" s="157"/>
      <c r="U15" s="157"/>
      <c r="V15" s="157"/>
      <c r="W15" s="157"/>
      <c r="X15" s="157"/>
      <c r="Y15" s="157"/>
      <c r="Z15" s="157"/>
      <c r="AA15" s="157"/>
      <c r="AB15" s="140"/>
      <c r="AC15" s="149"/>
      <c r="AD15" s="148"/>
      <c r="AE15" s="145"/>
      <c r="AJ15" s="158"/>
      <c r="AK15" s="158"/>
    </row>
    <row r="16" spans="1:37" ht="15">
      <c r="A16" s="239" t="s">
        <v>166</v>
      </c>
      <c r="B16" t="s">
        <v>61</v>
      </c>
      <c r="C16" t="s">
        <v>61</v>
      </c>
      <c r="D16" t="s">
        <v>148</v>
      </c>
      <c r="E16" t="s">
        <v>61</v>
      </c>
      <c r="F16" t="s">
        <v>61</v>
      </c>
      <c r="G16" t="s">
        <v>61</v>
      </c>
      <c r="H16" t="s">
        <v>148</v>
      </c>
      <c r="I16" s="414"/>
      <c r="K16" s="416">
        <f t="shared" si="0"/>
        <v>0</v>
      </c>
      <c r="L16" s="272">
        <f t="shared" si="1"/>
        <v>5</v>
      </c>
      <c r="M16" s="273"/>
      <c r="N16" s="443">
        <v>637.21</v>
      </c>
      <c r="O16" s="388">
        <f t="shared" si="2"/>
        <v>31.479782886332213</v>
      </c>
      <c r="P16" s="272">
        <f t="shared" si="3"/>
        <v>2</v>
      </c>
      <c r="Q16" s="40"/>
      <c r="R16" s="390">
        <f t="shared" si="4"/>
        <v>31.479782886332213</v>
      </c>
      <c r="S16" s="101"/>
      <c r="T16" s="101"/>
      <c r="U16" s="102"/>
      <c r="V16" s="102"/>
      <c r="W16" s="102"/>
      <c r="X16" s="102"/>
      <c r="Y16" s="102"/>
      <c r="Z16" s="102"/>
      <c r="AA16" s="102"/>
      <c r="AB16" s="103"/>
      <c r="AC16" s="104"/>
      <c r="AD16" s="105"/>
      <c r="AE16" s="49"/>
      <c r="AF16" s="32"/>
      <c r="AG16" s="32"/>
      <c r="AH16" s="32"/>
      <c r="AI16" s="32"/>
      <c r="AJ16" s="31"/>
      <c r="AK16" s="31"/>
    </row>
    <row r="17" spans="1:37" ht="15">
      <c r="A17" s="239" t="s">
        <v>167</v>
      </c>
      <c r="B17" t="s">
        <v>61</v>
      </c>
      <c r="C17" t="s">
        <v>61</v>
      </c>
      <c r="D17" t="s">
        <v>148</v>
      </c>
      <c r="E17" t="s">
        <v>148</v>
      </c>
      <c r="F17" t="s">
        <v>148</v>
      </c>
      <c r="G17" t="s">
        <v>61</v>
      </c>
      <c r="H17" t="s">
        <v>148</v>
      </c>
      <c r="I17" s="415"/>
      <c r="K17" s="416">
        <f t="shared" si="0"/>
        <v>0</v>
      </c>
      <c r="L17" s="274">
        <f t="shared" si="1"/>
        <v>5</v>
      </c>
      <c r="M17" s="275"/>
      <c r="N17" s="443">
        <v>913.41</v>
      </c>
      <c r="O17" s="388">
        <f t="shared" si="2"/>
        <v>0</v>
      </c>
      <c r="P17" s="444">
        <f t="shared" si="3"/>
        <v>9</v>
      </c>
      <c r="Q17" s="40"/>
      <c r="R17" s="390">
        <f t="shared" si="4"/>
        <v>0</v>
      </c>
      <c r="S17" s="101"/>
      <c r="T17" s="101"/>
      <c r="U17" s="102"/>
      <c r="V17" s="102"/>
      <c r="W17" s="102"/>
      <c r="X17" s="102"/>
      <c r="Y17" s="102"/>
      <c r="Z17" s="102"/>
      <c r="AA17" s="102"/>
      <c r="AB17" s="103"/>
      <c r="AC17" s="104"/>
      <c r="AD17" s="105"/>
      <c r="AE17" s="49"/>
      <c r="AF17" s="32"/>
      <c r="AG17" s="32"/>
      <c r="AH17" s="32"/>
      <c r="AI17" s="32"/>
      <c r="AJ17" s="31"/>
      <c r="AK17" s="31"/>
    </row>
    <row r="18" spans="1:37">
      <c r="A18" s="91"/>
      <c r="B18" s="91"/>
      <c r="C18" s="137"/>
      <c r="D18" s="100"/>
      <c r="E18" s="100"/>
      <c r="F18" s="100"/>
      <c r="G18" s="100"/>
      <c r="H18" s="276" t="s">
        <v>93</v>
      </c>
      <c r="I18" s="276"/>
      <c r="J18" s="277">
        <f>J7</f>
        <v>114.57</v>
      </c>
      <c r="K18" s="278">
        <v>100</v>
      </c>
      <c r="L18" s="279">
        <f t="shared" si="1"/>
        <v>4</v>
      </c>
      <c r="M18" s="280"/>
      <c r="N18" s="277">
        <f>MIN(N5:N17)</f>
        <v>558.44000000000005</v>
      </c>
      <c r="O18" s="278">
        <v>0</v>
      </c>
      <c r="P18" s="100"/>
      <c r="Q18" s="88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16"/>
      <c r="AC18" s="114"/>
      <c r="AD18" s="117"/>
      <c r="AE18" s="49"/>
      <c r="AF18" s="32"/>
      <c r="AG18" s="32"/>
      <c r="AH18" s="32"/>
      <c r="AI18" s="32"/>
      <c r="AJ18" s="31"/>
      <c r="AK18" s="31"/>
    </row>
    <row r="19" spans="1:37">
      <c r="A19" s="91"/>
      <c r="B19" s="91"/>
      <c r="C19" s="100"/>
      <c r="D19" s="100"/>
      <c r="E19" s="100"/>
      <c r="F19" s="100"/>
      <c r="G19" s="100"/>
      <c r="H19" s="281" t="s">
        <v>88</v>
      </c>
      <c r="I19" s="281"/>
      <c r="J19" s="282">
        <f>MAX(J5:J17)</f>
        <v>206.88</v>
      </c>
      <c r="K19" s="283">
        <v>300</v>
      </c>
      <c r="L19" s="284"/>
      <c r="M19" s="284"/>
      <c r="N19" s="282">
        <f>MAX(N5:N17)</f>
        <v>913.41</v>
      </c>
      <c r="O19" s="283">
        <v>50</v>
      </c>
      <c r="P19" s="100"/>
      <c r="Q19" s="9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09"/>
      <c r="AC19" s="115"/>
      <c r="AD19" s="119"/>
      <c r="AE19" s="49"/>
      <c r="AF19" s="32"/>
      <c r="AG19" s="32"/>
      <c r="AH19" s="32"/>
      <c r="AI19" s="32"/>
      <c r="AJ19" s="31"/>
      <c r="AK19" s="31"/>
    </row>
    <row r="20" spans="1:37" ht="15">
      <c r="A20" s="91"/>
      <c r="B20" s="91"/>
      <c r="C20" s="100"/>
      <c r="D20" s="199" t="s">
        <v>48</v>
      </c>
      <c r="E20" s="198" t="s">
        <v>48</v>
      </c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9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09"/>
      <c r="AC20" s="115"/>
      <c r="AD20" s="119"/>
      <c r="AE20" s="49"/>
      <c r="AF20" s="32"/>
      <c r="AG20" s="32"/>
      <c r="AH20" s="32"/>
      <c r="AI20" s="32"/>
      <c r="AJ20" s="31"/>
      <c r="AK20" s="31"/>
    </row>
    <row r="21" spans="1:37" ht="15">
      <c r="B21" s="91"/>
      <c r="C21" s="92"/>
      <c r="D21" s="197"/>
      <c r="E21" s="197"/>
      <c r="F21" s="92"/>
      <c r="G21" s="190" t="s">
        <v>48</v>
      </c>
      <c r="H21" s="92"/>
      <c r="I21" s="92"/>
      <c r="J21" s="92"/>
      <c r="K21" s="92"/>
      <c r="L21" s="92"/>
      <c r="M21" s="92"/>
      <c r="N21" s="92"/>
      <c r="O21" s="92"/>
      <c r="P21" s="92"/>
      <c r="Q21" s="9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09"/>
      <c r="AC21" s="120"/>
      <c r="AD21" s="119"/>
    </row>
    <row r="22" spans="1:37">
      <c r="B22" t="s">
        <v>149</v>
      </c>
      <c r="C22" s="100"/>
      <c r="D22" s="100"/>
      <c r="E22" s="200"/>
      <c r="F22" s="184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9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09"/>
      <c r="AC22" s="120"/>
      <c r="AD22" s="119"/>
    </row>
    <row r="23" spans="1:37">
      <c r="B23" t="s">
        <v>150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98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109"/>
      <c r="AC23" s="120"/>
      <c r="AD23" s="119"/>
    </row>
    <row r="24" spans="1:37">
      <c r="B24" t="s">
        <v>151</v>
      </c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09"/>
      <c r="AC24" s="120"/>
      <c r="AD24" s="119"/>
    </row>
    <row r="25" spans="1:37">
      <c r="A25" s="91"/>
      <c r="B25" s="100"/>
      <c r="C25" s="100" t="s">
        <v>106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8"/>
      <c r="Q25" s="9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09"/>
      <c r="AC25" s="120"/>
      <c r="AD25" s="119"/>
    </row>
    <row r="26" spans="1:37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108"/>
      <c r="Q26" s="98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109"/>
      <c r="AC26" s="120"/>
      <c r="AD26" s="119"/>
    </row>
    <row r="27" spans="1:37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108"/>
      <c r="Q27" s="98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109"/>
      <c r="AC27" s="120"/>
      <c r="AD27" s="119"/>
    </row>
    <row r="28" spans="1:37">
      <c r="A28" s="91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8"/>
      <c r="Q28" s="9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09"/>
      <c r="AC28" s="120"/>
      <c r="AD28" s="119"/>
    </row>
    <row r="29" spans="1:37">
      <c r="A29" s="91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8"/>
      <c r="Q29" s="9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09"/>
      <c r="AC29" s="120"/>
      <c r="AD29" s="119"/>
    </row>
    <row r="30" spans="1:37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108"/>
      <c r="Q30" s="98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109"/>
      <c r="AC30" s="120"/>
      <c r="AD30" s="119"/>
    </row>
    <row r="31" spans="1:37">
      <c r="A31" s="91"/>
      <c r="B31" s="121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8"/>
      <c r="Q31" s="9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09"/>
      <c r="AC31" s="120"/>
      <c r="AD31" s="119"/>
    </row>
    <row r="32" spans="1:37">
      <c r="A32" s="91"/>
      <c r="B32" s="100"/>
      <c r="C32" s="100"/>
      <c r="D32" s="100"/>
      <c r="E32" s="100"/>
      <c r="F32" s="108"/>
      <c r="G32" s="100"/>
      <c r="H32" s="100"/>
      <c r="I32" s="100"/>
      <c r="J32" s="100"/>
      <c r="K32" s="100"/>
      <c r="L32" s="100"/>
      <c r="M32" s="100"/>
      <c r="N32" s="100"/>
      <c r="O32" s="100"/>
      <c r="P32" s="109"/>
      <c r="Q32" s="9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09"/>
      <c r="AC32" s="120"/>
      <c r="AD32" s="90"/>
    </row>
    <row r="33" spans="1:30">
      <c r="A33" s="91"/>
      <c r="B33" s="92"/>
      <c r="C33" s="92"/>
      <c r="D33" s="191"/>
      <c r="E33" s="192"/>
      <c r="F33" s="192"/>
      <c r="G33" s="76"/>
      <c r="H33" s="76"/>
      <c r="I33" s="92"/>
      <c r="J33" s="92"/>
      <c r="K33" s="92"/>
      <c r="L33" s="92"/>
      <c r="M33" s="92"/>
      <c r="N33" s="92"/>
      <c r="O33" s="92"/>
      <c r="P33" s="108"/>
      <c r="Q33" s="98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109"/>
      <c r="AC33" s="120"/>
      <c r="AD33" s="119"/>
    </row>
    <row r="34" spans="1:30">
      <c r="A34" s="91"/>
      <c r="B34" s="100"/>
      <c r="C34" s="100"/>
      <c r="D34" s="76"/>
      <c r="E34" s="76"/>
      <c r="F34" s="188"/>
      <c r="G34" s="76"/>
      <c r="H34" s="189"/>
      <c r="I34" s="184"/>
      <c r="J34" s="184"/>
      <c r="K34" s="184"/>
      <c r="L34" s="100"/>
      <c r="M34" s="100"/>
      <c r="N34" s="100"/>
      <c r="O34" s="100"/>
      <c r="P34" s="108"/>
      <c r="Q34" s="9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09"/>
      <c r="AC34" s="120"/>
      <c r="AD34" s="119"/>
    </row>
    <row r="35" spans="1:30">
      <c r="A35" s="85"/>
      <c r="B35" s="100"/>
      <c r="C35" s="92"/>
      <c r="D35" s="76"/>
      <c r="E35" s="76"/>
      <c r="F35" s="192"/>
      <c r="G35" s="76"/>
      <c r="H35" s="76"/>
      <c r="I35" s="92"/>
      <c r="J35" s="92"/>
      <c r="K35" s="92"/>
      <c r="L35" s="92"/>
      <c r="M35" s="92"/>
      <c r="N35" s="92"/>
      <c r="O35" s="92"/>
      <c r="P35" s="108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109"/>
      <c r="AC35" s="120"/>
      <c r="AD35" s="119"/>
    </row>
    <row r="36" spans="1:30">
      <c r="A36" s="85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120"/>
      <c r="AD36" s="90"/>
    </row>
    <row r="37" spans="1:30">
      <c r="A37" s="85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120"/>
      <c r="AD37" s="90"/>
    </row>
    <row r="38" spans="1:30">
      <c r="A38" s="111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2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120"/>
      <c r="AD38" s="90"/>
    </row>
    <row r="39" spans="1:30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108"/>
      <c r="Q39" s="98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109"/>
      <c r="AC39" s="120"/>
      <c r="AD39" s="119"/>
    </row>
    <row r="40" spans="1:30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108"/>
      <c r="Q40" s="98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109"/>
      <c r="AC40" s="120"/>
      <c r="AD40" s="119"/>
    </row>
    <row r="41" spans="1:30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108"/>
      <c r="Q41" s="98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109"/>
      <c r="AC41" s="120"/>
      <c r="AD41" s="119"/>
    </row>
    <row r="42" spans="1:30">
      <c r="A42" s="91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108"/>
      <c r="Q42" s="98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109"/>
      <c r="AC42" s="120"/>
      <c r="AD42" s="119"/>
    </row>
    <row r="43" spans="1:30">
      <c r="A43" s="91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108"/>
      <c r="Q43" s="98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109"/>
      <c r="AC43" s="120"/>
      <c r="AD43" s="119"/>
    </row>
    <row r="44" spans="1:30">
      <c r="A44" s="91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108"/>
      <c r="Q44" s="98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109"/>
      <c r="AC44" s="120"/>
      <c r="AD44" s="119"/>
    </row>
    <row r="45" spans="1:30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108"/>
      <c r="Q45" s="98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109"/>
      <c r="AC45" s="120"/>
      <c r="AD45" s="119"/>
    </row>
    <row r="46" spans="1:30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108"/>
      <c r="Q46" s="98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109"/>
      <c r="AC46" s="120"/>
      <c r="AD46" s="119"/>
    </row>
    <row r="47" spans="1:30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108"/>
      <c r="Q47" s="98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109"/>
      <c r="AC47" s="120"/>
      <c r="AD47" s="119"/>
    </row>
    <row r="48" spans="1:30">
      <c r="A48" s="91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108"/>
      <c r="Q48" s="98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109"/>
      <c r="AC48" s="120"/>
      <c r="AD48" s="119"/>
    </row>
    <row r="49" spans="1:30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108"/>
      <c r="Q49" s="98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109"/>
      <c r="AC49" s="120"/>
      <c r="AD49" s="119"/>
    </row>
    <row r="50" spans="1:30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108"/>
      <c r="Q50" s="98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109"/>
      <c r="AC50" s="120"/>
      <c r="AD50" s="119"/>
    </row>
    <row r="51" spans="1:30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108"/>
      <c r="Q51" s="98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109"/>
      <c r="AC51" s="120"/>
      <c r="AD51" s="119"/>
    </row>
    <row r="52" spans="1:30">
      <c r="A52" s="91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9"/>
      <c r="Q52" s="98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9"/>
      <c r="AC52" s="120"/>
      <c r="AD52" s="90"/>
    </row>
    <row r="53" spans="1:30">
      <c r="A53" s="91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108"/>
      <c r="Q53" s="98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109"/>
      <c r="AC53" s="120"/>
      <c r="AD53" s="119"/>
    </row>
    <row r="54" spans="1:30">
      <c r="A54" s="91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108"/>
      <c r="Q54" s="98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109"/>
      <c r="AC54" s="120"/>
      <c r="AD54" s="119"/>
    </row>
    <row r="55" spans="1:30">
      <c r="A55" s="96"/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12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  <c r="AB55" s="113"/>
      <c r="AC55" s="120"/>
      <c r="AD55" s="90"/>
    </row>
    <row r="56" spans="1:30">
      <c r="A56" s="96"/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90"/>
    </row>
    <row r="57" spans="1:30">
      <c r="A57" s="96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12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</row>
    <row r="58" spans="1:30">
      <c r="A58" s="96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110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</row>
    <row r="59" spans="1:30">
      <c r="A59" s="96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110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</row>
    <row r="60" spans="1:30">
      <c r="A60" s="96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110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1:30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97"/>
      <c r="O61" s="97"/>
      <c r="P61" s="110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</row>
    <row r="62" spans="1:30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7"/>
      <c r="O62" s="97"/>
      <c r="P62" s="110"/>
      <c r="Q62" s="97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6"/>
      <c r="AC62" s="96"/>
      <c r="AD62" s="97"/>
    </row>
    <row r="63" spans="1:30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7"/>
      <c r="O63" s="97"/>
      <c r="P63" s="110"/>
      <c r="Q63" s="97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6"/>
      <c r="AC63" s="96"/>
      <c r="AD63" s="97"/>
    </row>
    <row r="64" spans="1:30">
      <c r="P64" s="42"/>
    </row>
    <row r="65" spans="16:16">
      <c r="P65" s="42"/>
    </row>
    <row r="66" spans="16:16">
      <c r="P66" s="42"/>
    </row>
    <row r="67" spans="16:16">
      <c r="P67" s="42"/>
    </row>
    <row r="68" spans="16:16">
      <c r="P68" s="42"/>
    </row>
    <row r="69" spans="16:16">
      <c r="P69" s="42"/>
    </row>
    <row r="70" spans="16:16">
      <c r="P70" s="42"/>
    </row>
    <row r="71" spans="16:16">
      <c r="P71" s="42"/>
    </row>
    <row r="72" spans="16:16">
      <c r="P72" s="42"/>
    </row>
    <row r="73" spans="16:16">
      <c r="P73" s="42"/>
    </row>
    <row r="74" spans="16:16">
      <c r="P74" s="42"/>
    </row>
    <row r="75" spans="16:16">
      <c r="P75" s="42"/>
    </row>
    <row r="76" spans="16:16">
      <c r="P76" s="42"/>
    </row>
    <row r="77" spans="16:16">
      <c r="P77" s="42"/>
    </row>
    <row r="78" spans="16:16">
      <c r="P78" s="42"/>
    </row>
    <row r="79" spans="16:16">
      <c r="P79" s="42"/>
    </row>
    <row r="80" spans="16:16">
      <c r="P80" s="42"/>
    </row>
    <row r="81" spans="16:16">
      <c r="P81" s="42"/>
    </row>
    <row r="82" spans="16:16">
      <c r="P82" s="42"/>
    </row>
    <row r="83" spans="16:16">
      <c r="P83" s="42"/>
    </row>
    <row r="84" spans="16:16">
      <c r="P84" s="42"/>
    </row>
    <row r="85" spans="16:16">
      <c r="P85" s="42"/>
    </row>
    <row r="86" spans="16:16">
      <c r="P86" s="42"/>
    </row>
    <row r="87" spans="16:16">
      <c r="P87" s="42"/>
    </row>
    <row r="88" spans="16:16">
      <c r="P88" s="42"/>
    </row>
    <row r="89" spans="16:16">
      <c r="P89" s="42"/>
    </row>
    <row r="90" spans="16:16">
      <c r="P90" s="42"/>
    </row>
    <row r="91" spans="16:16">
      <c r="P91" s="42"/>
    </row>
    <row r="92" spans="16:16">
      <c r="P92" s="42"/>
    </row>
    <row r="93" spans="16:16">
      <c r="P93" s="42"/>
    </row>
    <row r="94" spans="16:16">
      <c r="P94" s="42"/>
    </row>
    <row r="95" spans="16:16">
      <c r="P95" s="42"/>
    </row>
    <row r="96" spans="16:16">
      <c r="P96" s="42"/>
    </row>
    <row r="97" spans="16:16">
      <c r="P97" s="42"/>
    </row>
  </sheetData>
  <phoneticPr fontId="18" type="noConversion"/>
  <conditionalFormatting sqref="B5:H17">
    <cfRule type="cellIs" dxfId="1" priority="1" stopIfTrue="1" operator="equal">
      <formula>"PASS"</formula>
    </cfRule>
    <cfRule type="cellIs" dxfId="0" priority="2" stopIfTrue="1" operator="equal">
      <formula>"FAIL"</formula>
    </cfRule>
  </conditionalFormatting>
  <printOptions gridLines="1"/>
  <pageMargins left="0.25" right="0.25" top="1" bottom="1" header="0.5" footer="0.5"/>
  <pageSetup scale="70" orientation="landscape" horizontalDpi="4294967294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97"/>
  <sheetViews>
    <sheetView workbookViewId="0"/>
  </sheetViews>
  <sheetFormatPr defaultRowHeight="12.75"/>
  <cols>
    <col min="1" max="1" width="40.85546875" customWidth="1"/>
    <col min="2" max="2" width="11.28515625" customWidth="1"/>
    <col min="3" max="3" width="12.5703125" customWidth="1"/>
    <col min="4" max="4" width="8.5703125" customWidth="1"/>
    <col min="5" max="5" width="13.5703125" customWidth="1"/>
    <col min="6" max="6" width="15.42578125" customWidth="1"/>
    <col min="7" max="8" width="9.28515625" customWidth="1"/>
    <col min="9" max="9" width="9.140625" customWidth="1"/>
    <col min="11" max="11" width="10" style="400" customWidth="1"/>
    <col min="12" max="12" width="8.7109375" style="3" customWidth="1"/>
    <col min="13" max="13" width="10.7109375" style="3" customWidth="1"/>
    <col min="14" max="14" width="8.7109375" style="3" customWidth="1"/>
    <col min="15" max="15" width="3" style="3" customWidth="1"/>
    <col min="16" max="22" width="8.7109375" style="41" customWidth="1"/>
    <col min="23" max="23" width="10" style="41" customWidth="1"/>
    <col min="24" max="25" width="8.7109375" style="41" customWidth="1"/>
    <col min="26" max="26" width="8.7109375" customWidth="1"/>
    <col min="27" max="27" width="2.140625" customWidth="1"/>
    <col min="28" max="28" width="16.28515625" style="3" customWidth="1"/>
    <col min="29" max="29" width="12.7109375" style="3" customWidth="1"/>
    <col min="30" max="33" width="8.7109375" customWidth="1"/>
  </cols>
  <sheetData>
    <row r="1" spans="1:35" ht="18.75">
      <c r="A1" s="122" t="s">
        <v>210</v>
      </c>
      <c r="B1" s="21"/>
      <c r="C1" s="21"/>
      <c r="D1" s="21"/>
      <c r="E1" s="21" t="s">
        <v>152</v>
      </c>
      <c r="F1" s="232">
        <f>MIN(B6:B18)</f>
        <v>37.794634210526318</v>
      </c>
      <c r="G1" s="21"/>
      <c r="H1" s="21" t="s">
        <v>154</v>
      </c>
      <c r="I1" s="21"/>
      <c r="J1" s="450">
        <f>MIN(H6:H18)</f>
        <v>0.49</v>
      </c>
      <c r="K1" s="391"/>
      <c r="L1" s="28"/>
      <c r="M1" s="28"/>
      <c r="N1" s="28"/>
      <c r="O1" s="28"/>
      <c r="P1" s="123"/>
      <c r="Q1" s="86"/>
      <c r="R1" s="87"/>
      <c r="S1" s="87"/>
      <c r="T1" s="87"/>
      <c r="U1" s="87"/>
      <c r="V1" s="87"/>
      <c r="W1" s="87"/>
      <c r="X1" s="87"/>
      <c r="Y1" s="87"/>
      <c r="Z1" s="88"/>
      <c r="AA1" s="89"/>
      <c r="AB1" s="90"/>
      <c r="AC1" s="62"/>
      <c r="AD1" s="1"/>
      <c r="AE1" s="1"/>
      <c r="AF1" s="1"/>
    </row>
    <row r="2" spans="1:35">
      <c r="A2" s="80"/>
      <c r="B2" s="24"/>
      <c r="C2" s="24"/>
      <c r="D2" s="24"/>
      <c r="E2" s="24" t="s">
        <v>153</v>
      </c>
      <c r="F2" s="232">
        <f>MAX(B7:B18)</f>
        <v>815.43269999999995</v>
      </c>
      <c r="G2" s="24"/>
      <c r="H2" s="24" t="s">
        <v>155</v>
      </c>
      <c r="I2" s="24"/>
      <c r="J2" s="449">
        <f>MAX(H6:H18)</f>
        <v>0.97952552238215884</v>
      </c>
      <c r="K2" s="392"/>
      <c r="L2" s="124"/>
      <c r="M2" s="53"/>
      <c r="N2" s="53"/>
      <c r="O2" s="53"/>
      <c r="P2" s="125"/>
      <c r="Q2" s="93"/>
      <c r="R2" s="93"/>
      <c r="S2" s="87"/>
      <c r="T2" s="87"/>
      <c r="U2" s="87"/>
      <c r="V2" s="87"/>
      <c r="W2" s="87"/>
      <c r="X2" s="87"/>
      <c r="Y2" s="87"/>
      <c r="Z2" s="88"/>
      <c r="AA2" s="89"/>
      <c r="AB2" s="90"/>
      <c r="AC2" s="62"/>
      <c r="AD2" s="1"/>
      <c r="AE2" s="1"/>
      <c r="AF2" s="1"/>
    </row>
    <row r="3" spans="1:35">
      <c r="A3" s="16"/>
      <c r="B3" s="16" t="s">
        <v>119</v>
      </c>
      <c r="C3" s="23"/>
      <c r="D3" s="23"/>
      <c r="E3" s="23"/>
      <c r="F3" s="23"/>
      <c r="G3" s="23"/>
      <c r="H3" s="23"/>
      <c r="I3" s="23"/>
      <c r="J3" s="16"/>
      <c r="K3" s="393"/>
      <c r="L3" s="28"/>
      <c r="M3" s="23"/>
      <c r="N3" s="23"/>
      <c r="O3" s="23"/>
      <c r="P3" s="126"/>
      <c r="Q3" s="95"/>
      <c r="R3" s="93"/>
      <c r="S3" s="87"/>
      <c r="T3" s="87"/>
      <c r="U3" s="87"/>
      <c r="V3" s="87"/>
      <c r="W3" s="87"/>
      <c r="X3" s="87"/>
      <c r="Y3" s="87"/>
      <c r="Z3" s="88"/>
      <c r="AA3" s="89"/>
      <c r="AB3" s="90"/>
      <c r="AC3" s="62"/>
      <c r="AD3" s="1"/>
      <c r="AE3" s="1"/>
      <c r="AF3" s="1"/>
    </row>
    <row r="4" spans="1:35">
      <c r="A4" s="16"/>
      <c r="B4" s="16"/>
      <c r="C4" s="23"/>
      <c r="D4" s="23"/>
      <c r="E4" s="23" t="s">
        <v>48</v>
      </c>
      <c r="F4" s="23"/>
      <c r="G4" s="23"/>
      <c r="H4" s="23"/>
      <c r="I4" s="23"/>
      <c r="J4" s="23"/>
      <c r="K4" s="393"/>
      <c r="L4" s="28"/>
      <c r="M4" s="23"/>
      <c r="N4" s="23"/>
      <c r="O4" s="23"/>
      <c r="P4" s="126"/>
      <c r="Q4" s="95"/>
      <c r="R4" s="93"/>
      <c r="S4" s="87"/>
      <c r="T4" s="87"/>
      <c r="U4" s="87"/>
      <c r="V4" s="87"/>
      <c r="W4" s="87"/>
      <c r="X4" s="87"/>
      <c r="Y4" s="87"/>
      <c r="Z4" s="88"/>
      <c r="AA4" s="89"/>
      <c r="AB4" s="90"/>
      <c r="AC4" s="62"/>
      <c r="AD4" s="1"/>
      <c r="AE4" s="1"/>
      <c r="AF4" s="1"/>
    </row>
    <row r="5" spans="1:35" ht="51">
      <c r="B5" s="23" t="s">
        <v>114</v>
      </c>
      <c r="C5" s="39" t="s">
        <v>115</v>
      </c>
      <c r="D5" s="23" t="s">
        <v>28</v>
      </c>
      <c r="E5" s="23"/>
      <c r="F5" s="23" t="s">
        <v>129</v>
      </c>
      <c r="G5" s="39" t="s">
        <v>305</v>
      </c>
      <c r="H5" s="39" t="s">
        <v>308</v>
      </c>
      <c r="I5" s="39" t="s">
        <v>56</v>
      </c>
      <c r="J5" s="39"/>
      <c r="K5" s="393"/>
      <c r="L5" s="44" t="s">
        <v>307</v>
      </c>
      <c r="M5" s="20"/>
      <c r="N5" s="28"/>
      <c r="O5" s="28"/>
      <c r="P5" s="123"/>
      <c r="Q5" s="86"/>
      <c r="R5" s="86"/>
      <c r="S5" s="86"/>
      <c r="T5" s="86"/>
      <c r="U5" s="86"/>
      <c r="V5" s="86"/>
      <c r="W5" s="86"/>
      <c r="X5" s="86"/>
      <c r="Y5" s="86"/>
      <c r="Z5" s="85"/>
      <c r="AA5" s="96"/>
      <c r="AB5" s="97"/>
    </row>
    <row r="6" spans="1:35" ht="15">
      <c r="A6" s="239" t="s">
        <v>120</v>
      </c>
      <c r="B6" s="445">
        <v>37.794634210526318</v>
      </c>
      <c r="C6" s="380">
        <f>50*(($F$2/B6)^2-1)/(($F$2/$F$1)^2-1)</f>
        <v>50</v>
      </c>
      <c r="D6" s="310">
        <f t="shared" ref="D6:D17" si="0">RANK(C6,$C$6:$C$18)</f>
        <v>1</v>
      </c>
      <c r="E6" s="204"/>
      <c r="F6" s="312" t="s">
        <v>306</v>
      </c>
      <c r="G6" s="448">
        <v>2.6</v>
      </c>
      <c r="H6" s="429">
        <v>0.97952552238215884</v>
      </c>
      <c r="I6" s="315">
        <v>50</v>
      </c>
      <c r="J6" s="225">
        <f t="shared" ref="J6:J17" si="1">RANK(I6,$I$6:$I$18)</f>
        <v>1</v>
      </c>
      <c r="K6" s="129">
        <f>C6+I6</f>
        <v>100</v>
      </c>
      <c r="L6" s="131"/>
      <c r="M6" s="131"/>
      <c r="N6" s="28"/>
      <c r="O6" s="28"/>
      <c r="P6" s="128"/>
      <c r="Q6" s="86"/>
      <c r="R6" s="86"/>
      <c r="S6" s="86"/>
      <c r="T6" s="86"/>
      <c r="U6" s="86"/>
      <c r="V6" s="86"/>
      <c r="W6" s="86"/>
      <c r="X6" s="86"/>
      <c r="Y6" s="86"/>
      <c r="Z6" s="85"/>
      <c r="AA6" s="96"/>
      <c r="AB6" s="97"/>
      <c r="AH6" s="31"/>
      <c r="AI6" s="31"/>
    </row>
    <row r="7" spans="1:35" ht="15">
      <c r="A7" s="239" t="s">
        <v>121</v>
      </c>
      <c r="B7" s="445">
        <v>412.57598097014915</v>
      </c>
      <c r="C7" s="380">
        <f t="shared" ref="C7:C18" si="2">50*(($F$2/B7)^2-1)/(($F$2/$F$1)^2-1)</f>
        <v>0.31284714216464254</v>
      </c>
      <c r="D7" s="310">
        <f t="shared" si="0"/>
        <v>7</v>
      </c>
      <c r="E7" s="238"/>
      <c r="F7" s="312" t="s">
        <v>306</v>
      </c>
      <c r="G7" s="448">
        <v>2.6</v>
      </c>
      <c r="H7" s="429">
        <v>0.76932650231044208</v>
      </c>
      <c r="I7" s="315">
        <v>24.4</v>
      </c>
      <c r="J7" s="225">
        <f t="shared" si="1"/>
        <v>7</v>
      </c>
      <c r="K7" s="129">
        <f t="shared" ref="K7:K18" si="3">C7+I7</f>
        <v>24.712847142164641</v>
      </c>
      <c r="L7" s="131"/>
      <c r="M7" s="131"/>
      <c r="N7" s="28"/>
      <c r="O7" s="28"/>
      <c r="P7" s="123"/>
      <c r="Q7" s="86"/>
      <c r="R7" s="86"/>
      <c r="S7" s="86"/>
      <c r="T7" s="86"/>
      <c r="U7" s="86"/>
      <c r="V7" s="86"/>
      <c r="W7" s="86"/>
      <c r="X7" s="86"/>
      <c r="Y7" s="86"/>
      <c r="Z7" s="85"/>
      <c r="AA7" s="96"/>
      <c r="AB7" s="97"/>
      <c r="AH7" s="31"/>
      <c r="AI7" s="31"/>
    </row>
    <row r="8" spans="1:35" ht="15">
      <c r="A8" s="239" t="s">
        <v>122</v>
      </c>
      <c r="B8" s="445">
        <v>67.098071428571416</v>
      </c>
      <c r="C8" s="380">
        <f t="shared" si="2"/>
        <v>15.790418838493597</v>
      </c>
      <c r="D8" s="310">
        <f t="shared" si="0"/>
        <v>2</v>
      </c>
      <c r="E8" s="238"/>
      <c r="F8" s="312" t="s">
        <v>306</v>
      </c>
      <c r="G8" s="448">
        <v>2.6</v>
      </c>
      <c r="H8" s="429">
        <v>0.96167422891408338</v>
      </c>
      <c r="I8" s="433">
        <v>47.6</v>
      </c>
      <c r="J8" s="225">
        <f t="shared" si="1"/>
        <v>3</v>
      </c>
      <c r="K8" s="129">
        <f t="shared" si="3"/>
        <v>63.390418838493602</v>
      </c>
      <c r="L8" s="131"/>
      <c r="M8" s="131"/>
      <c r="N8" s="28"/>
      <c r="O8" s="28"/>
      <c r="P8" s="123"/>
      <c r="Q8" s="86"/>
      <c r="R8" s="86"/>
      <c r="S8" s="86"/>
      <c r="T8" s="86"/>
      <c r="U8" s="86"/>
      <c r="V8" s="86"/>
      <c r="W8" s="86"/>
      <c r="X8" s="86"/>
      <c r="Y8" s="86"/>
      <c r="Z8" s="85"/>
      <c r="AA8" s="96"/>
      <c r="AB8" s="97"/>
      <c r="AH8" s="31"/>
      <c r="AI8" s="31"/>
    </row>
    <row r="9" spans="1:35" s="243" customFormat="1" ht="15">
      <c r="A9" s="287" t="s">
        <v>160</v>
      </c>
      <c r="B9" s="445" t="s">
        <v>279</v>
      </c>
      <c r="C9" s="380">
        <v>0</v>
      </c>
      <c r="D9" s="310"/>
      <c r="E9" s="295"/>
      <c r="F9" s="312" t="s">
        <v>48</v>
      </c>
      <c r="G9" s="448" t="s">
        <v>48</v>
      </c>
      <c r="H9" s="430"/>
      <c r="I9" s="315">
        <v>0</v>
      </c>
      <c r="J9" s="245"/>
      <c r="K9" s="129" t="s">
        <v>48</v>
      </c>
      <c r="L9" s="432" t="s">
        <v>297</v>
      </c>
      <c r="M9" s="300"/>
      <c r="N9" s="292"/>
      <c r="O9" s="292"/>
      <c r="P9" s="298"/>
      <c r="Q9" s="298"/>
      <c r="R9" s="298"/>
      <c r="S9" s="298"/>
      <c r="T9" s="298"/>
      <c r="U9" s="298"/>
      <c r="V9" s="298"/>
      <c r="W9" s="298"/>
      <c r="X9" s="298"/>
      <c r="Y9" s="298"/>
      <c r="Z9" s="255"/>
      <c r="AB9" s="248"/>
      <c r="AC9" s="248"/>
      <c r="AH9" s="299"/>
      <c r="AI9" s="299"/>
    </row>
    <row r="10" spans="1:35" s="243" customFormat="1" ht="15">
      <c r="A10" s="287" t="s">
        <v>161</v>
      </c>
      <c r="B10" s="446">
        <v>97.577302671755746</v>
      </c>
      <c r="C10" s="380">
        <f t="shared" si="2"/>
        <v>7.4097390530498837</v>
      </c>
      <c r="D10" s="310">
        <f t="shared" si="0"/>
        <v>4</v>
      </c>
      <c r="E10" s="295"/>
      <c r="F10" s="312" t="s">
        <v>306</v>
      </c>
      <c r="G10" s="448">
        <v>2.6</v>
      </c>
      <c r="H10" s="431">
        <v>0.97952552238215884</v>
      </c>
      <c r="I10" s="315">
        <v>45.7</v>
      </c>
      <c r="J10" s="245"/>
      <c r="K10" s="129">
        <f t="shared" si="3"/>
        <v>53.109739053049886</v>
      </c>
      <c r="L10" s="300"/>
      <c r="M10" s="300"/>
      <c r="N10" s="292"/>
      <c r="O10" s="292"/>
      <c r="P10" s="301"/>
      <c r="Q10" s="301"/>
      <c r="R10" s="301"/>
      <c r="S10" s="301"/>
      <c r="T10" s="298"/>
      <c r="U10" s="298"/>
      <c r="V10" s="298"/>
      <c r="W10" s="298"/>
      <c r="X10" s="298"/>
      <c r="Y10" s="298"/>
      <c r="Z10" s="255"/>
      <c r="AB10" s="248"/>
      <c r="AC10" s="248"/>
      <c r="AH10" s="299"/>
      <c r="AI10" s="299"/>
    </row>
    <row r="11" spans="1:35" ht="15">
      <c r="A11" s="239" t="s">
        <v>162</v>
      </c>
      <c r="B11" s="445"/>
      <c r="C11" s="380">
        <v>0</v>
      </c>
      <c r="D11" s="310"/>
      <c r="E11" s="204"/>
      <c r="F11" s="312" t="s">
        <v>48</v>
      </c>
      <c r="G11" s="448" t="s">
        <v>48</v>
      </c>
      <c r="H11" s="430"/>
      <c r="I11" s="315" t="s">
        <v>48</v>
      </c>
      <c r="J11" s="310" t="s">
        <v>48</v>
      </c>
      <c r="K11" s="129">
        <v>0</v>
      </c>
      <c r="L11" s="131"/>
      <c r="M11" s="131"/>
      <c r="N11" s="28"/>
      <c r="O11" s="28"/>
      <c r="P11" s="128"/>
      <c r="Q11" s="99"/>
      <c r="R11" s="99"/>
      <c r="S11" s="99"/>
      <c r="T11" s="86"/>
      <c r="U11" s="86"/>
      <c r="V11" s="86"/>
      <c r="W11" s="86"/>
      <c r="X11" s="86"/>
      <c r="Y11" s="86"/>
      <c r="Z11" s="85"/>
      <c r="AA11" s="96"/>
      <c r="AB11" s="97"/>
      <c r="AH11" s="31"/>
      <c r="AI11" s="31"/>
    </row>
    <row r="12" spans="1:35" ht="15">
      <c r="A12" s="239" t="s">
        <v>123</v>
      </c>
      <c r="B12" s="445">
        <v>317.46796179775276</v>
      </c>
      <c r="C12" s="380">
        <f t="shared" si="2"/>
        <v>0.60252995005923671</v>
      </c>
      <c r="D12" s="310">
        <f t="shared" si="0"/>
        <v>5</v>
      </c>
      <c r="E12" s="204"/>
      <c r="F12" s="312" t="s">
        <v>306</v>
      </c>
      <c r="G12" s="448">
        <v>2.6</v>
      </c>
      <c r="H12" s="431">
        <v>0.82128451194318264</v>
      </c>
      <c r="I12" s="315">
        <v>30.2</v>
      </c>
      <c r="J12" s="225">
        <f t="shared" si="1"/>
        <v>5</v>
      </c>
      <c r="K12" s="129">
        <f t="shared" si="3"/>
        <v>30.802529950059235</v>
      </c>
      <c r="L12" s="131"/>
      <c r="M12" s="131"/>
      <c r="N12" s="28"/>
      <c r="O12" s="28"/>
      <c r="P12" s="128"/>
      <c r="Q12" s="99"/>
      <c r="R12" s="99"/>
      <c r="S12" s="99"/>
      <c r="T12" s="86"/>
      <c r="U12" s="86"/>
      <c r="V12" s="86"/>
      <c r="W12" s="86"/>
      <c r="X12" s="86"/>
      <c r="Y12" s="86"/>
      <c r="Z12" s="85"/>
      <c r="AA12" s="96"/>
      <c r="AB12" s="97"/>
      <c r="AH12" s="31"/>
      <c r="AI12" s="31"/>
    </row>
    <row r="13" spans="1:35" ht="15">
      <c r="A13" s="239" t="s">
        <v>163</v>
      </c>
      <c r="B13" s="445"/>
      <c r="C13" s="380">
        <v>0</v>
      </c>
      <c r="D13" s="310"/>
      <c r="E13" s="238"/>
      <c r="F13" s="312" t="s">
        <v>48</v>
      </c>
      <c r="G13" s="448" t="s">
        <v>106</v>
      </c>
      <c r="H13" s="430"/>
      <c r="I13" s="315">
        <v>0</v>
      </c>
      <c r="J13" s="225"/>
      <c r="K13" s="129" t="s">
        <v>48</v>
      </c>
      <c r="L13" s="131"/>
      <c r="M13" s="131"/>
      <c r="N13" s="28"/>
      <c r="O13" s="28"/>
      <c r="P13" s="123"/>
      <c r="Q13" s="86"/>
      <c r="R13" s="86"/>
      <c r="S13" s="86"/>
      <c r="T13" s="86"/>
      <c r="U13" s="86"/>
      <c r="V13" s="86"/>
      <c r="W13" s="86"/>
      <c r="X13" s="86"/>
      <c r="Y13" s="86"/>
      <c r="Z13" s="85"/>
      <c r="AA13" s="96"/>
      <c r="AB13" s="97"/>
      <c r="AH13" s="31"/>
      <c r="AI13" s="31"/>
    </row>
    <row r="14" spans="1:35" ht="15">
      <c r="A14" s="239" t="s">
        <v>124</v>
      </c>
      <c r="B14" s="445"/>
      <c r="C14" s="380">
        <v>0</v>
      </c>
      <c r="D14" s="310"/>
      <c r="E14" s="204"/>
      <c r="F14" s="312" t="s">
        <v>48</v>
      </c>
      <c r="G14" s="448" t="s">
        <v>48</v>
      </c>
      <c r="H14" s="430"/>
      <c r="I14" s="315">
        <v>0</v>
      </c>
      <c r="J14" s="225"/>
      <c r="K14" s="129" t="s">
        <v>48</v>
      </c>
      <c r="L14" s="131"/>
      <c r="M14" s="131"/>
      <c r="N14" s="28"/>
      <c r="O14" s="28"/>
      <c r="P14" s="123"/>
      <c r="Q14" s="86"/>
      <c r="R14" s="86"/>
      <c r="S14" s="86"/>
      <c r="T14" s="86"/>
      <c r="U14" s="86"/>
      <c r="V14" s="86"/>
      <c r="W14" s="86"/>
      <c r="X14" s="86"/>
      <c r="Y14" s="86"/>
      <c r="Z14" s="85"/>
      <c r="AA14" s="96"/>
      <c r="AB14" s="97"/>
      <c r="AH14" s="31"/>
      <c r="AI14" s="31"/>
    </row>
    <row r="15" spans="1:35" s="146" customFormat="1" ht="15">
      <c r="A15" s="239" t="s">
        <v>164</v>
      </c>
      <c r="B15" s="447"/>
      <c r="C15" s="380">
        <v>0</v>
      </c>
      <c r="D15" s="310"/>
      <c r="E15" s="204"/>
      <c r="F15" s="312" t="s">
        <v>306</v>
      </c>
      <c r="G15" s="448">
        <v>2.6</v>
      </c>
      <c r="H15" s="430"/>
      <c r="I15" s="315">
        <v>0</v>
      </c>
      <c r="J15" s="225"/>
      <c r="K15" s="129" t="s">
        <v>48</v>
      </c>
      <c r="L15" s="156"/>
      <c r="M15" s="156"/>
      <c r="N15" s="155"/>
      <c r="O15" s="155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40"/>
      <c r="AA15" s="149"/>
      <c r="AB15" s="148"/>
      <c r="AC15" s="145"/>
      <c r="AH15" s="158"/>
      <c r="AI15" s="158"/>
    </row>
    <row r="16" spans="1:35" ht="15">
      <c r="A16" s="239" t="s">
        <v>165</v>
      </c>
      <c r="B16" s="445">
        <v>84.5672</v>
      </c>
      <c r="C16" s="380">
        <f t="shared" si="2"/>
        <v>9.9006577015719639</v>
      </c>
      <c r="D16" s="310">
        <f t="shared" si="0"/>
        <v>3</v>
      </c>
      <c r="E16" s="204"/>
      <c r="F16" s="312" t="s">
        <v>48</v>
      </c>
      <c r="G16" s="448" t="s">
        <v>48</v>
      </c>
      <c r="H16" s="431">
        <v>0.96799999999999997</v>
      </c>
      <c r="I16" s="315">
        <v>48.4</v>
      </c>
      <c r="J16" s="225">
        <f t="shared" si="1"/>
        <v>2</v>
      </c>
      <c r="K16" s="129">
        <f t="shared" si="3"/>
        <v>58.300657701571964</v>
      </c>
      <c r="L16" s="40"/>
      <c r="M16" s="40"/>
      <c r="N16" s="40"/>
      <c r="O16" s="40"/>
      <c r="P16" s="130"/>
      <c r="Q16" s="101"/>
      <c r="R16" s="101"/>
      <c r="S16" s="102"/>
      <c r="T16" s="102"/>
      <c r="U16" s="102"/>
      <c r="V16" s="102"/>
      <c r="W16" s="102"/>
      <c r="X16" s="102"/>
      <c r="Y16" s="102"/>
      <c r="Z16" s="103"/>
      <c r="AA16" s="104"/>
      <c r="AB16" s="105"/>
      <c r="AC16" s="49"/>
      <c r="AD16" s="32"/>
      <c r="AE16" s="32"/>
      <c r="AF16" s="32"/>
      <c r="AG16" s="32"/>
      <c r="AH16" s="31"/>
      <c r="AI16" s="31"/>
    </row>
    <row r="17" spans="1:35" ht="15">
      <c r="A17" s="239" t="s">
        <v>166</v>
      </c>
      <c r="B17" s="445">
        <v>374.07268122743687</v>
      </c>
      <c r="C17" s="380">
        <f t="shared" si="2"/>
        <v>0.40386427781144946</v>
      </c>
      <c r="D17" s="310">
        <f t="shared" si="0"/>
        <v>6</v>
      </c>
      <c r="E17" s="204"/>
      <c r="F17" s="312" t="s">
        <v>306</v>
      </c>
      <c r="G17" s="448">
        <v>2.6</v>
      </c>
      <c r="H17" s="430">
        <v>0.78900000000000003</v>
      </c>
      <c r="I17" s="315">
        <v>26.6</v>
      </c>
      <c r="J17" s="225">
        <f t="shared" si="1"/>
        <v>6</v>
      </c>
      <c r="K17" s="129">
        <f t="shared" si="3"/>
        <v>27.003864277811452</v>
      </c>
      <c r="L17" s="40"/>
      <c r="M17" s="40"/>
      <c r="N17" s="40"/>
      <c r="O17" s="40"/>
      <c r="P17" s="130"/>
      <c r="Q17" s="101"/>
      <c r="R17" s="101"/>
      <c r="S17" s="102"/>
      <c r="T17" s="102"/>
      <c r="U17" s="102"/>
      <c r="V17" s="102"/>
      <c r="W17" s="102"/>
      <c r="X17" s="102"/>
      <c r="Y17" s="102"/>
      <c r="Z17" s="103"/>
      <c r="AA17" s="104"/>
      <c r="AB17" s="105"/>
      <c r="AC17" s="49"/>
      <c r="AD17" s="32"/>
      <c r="AE17" s="32"/>
      <c r="AF17" s="32"/>
      <c r="AG17" s="32"/>
      <c r="AH17" s="31"/>
      <c r="AI17" s="31"/>
    </row>
    <row r="18" spans="1:35" ht="15">
      <c r="A18" s="239" t="s">
        <v>167</v>
      </c>
      <c r="B18" s="447">
        <v>815.43269999999995</v>
      </c>
      <c r="C18" s="380">
        <f t="shared" si="2"/>
        <v>0</v>
      </c>
      <c r="D18" s="310">
        <v>8</v>
      </c>
      <c r="E18" s="204"/>
      <c r="F18" s="312" t="s">
        <v>306</v>
      </c>
      <c r="G18" s="448">
        <v>2.6</v>
      </c>
      <c r="H18" s="431">
        <v>0.49</v>
      </c>
      <c r="I18" s="315">
        <v>0</v>
      </c>
      <c r="J18" s="225">
        <v>8</v>
      </c>
      <c r="K18" s="129">
        <f t="shared" si="3"/>
        <v>0</v>
      </c>
      <c r="L18" s="40"/>
      <c r="M18" s="40"/>
      <c r="N18" s="40"/>
      <c r="O18" s="40"/>
      <c r="P18" s="130"/>
      <c r="Q18" s="101"/>
      <c r="R18" s="101"/>
      <c r="S18" s="101"/>
      <c r="T18" s="101"/>
      <c r="U18" s="101"/>
      <c r="V18" s="101"/>
      <c r="W18" s="101"/>
      <c r="X18" s="101"/>
      <c r="Y18" s="101"/>
      <c r="Z18" s="106"/>
      <c r="AA18" s="114"/>
      <c r="AB18" s="115"/>
      <c r="AC18" s="49"/>
      <c r="AD18" s="32"/>
      <c r="AE18" s="32"/>
      <c r="AF18" s="32"/>
      <c r="AG18" s="32"/>
      <c r="AH18" s="31"/>
      <c r="AI18" s="31"/>
    </row>
    <row r="19" spans="1:35">
      <c r="A19" s="91"/>
      <c r="B19" s="137"/>
      <c r="C19" s="100"/>
      <c r="D19" s="100"/>
      <c r="E19" s="100"/>
      <c r="F19" s="100"/>
      <c r="G19" s="100"/>
      <c r="H19" s="100"/>
      <c r="I19" s="100"/>
      <c r="J19" s="100"/>
      <c r="K19" s="394"/>
      <c r="L19" s="100"/>
      <c r="M19" s="100"/>
      <c r="N19" s="108"/>
      <c r="O19" s="9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09"/>
      <c r="AA19" s="115"/>
      <c r="AB19" s="119"/>
      <c r="AC19" s="49"/>
      <c r="AD19" s="32"/>
      <c r="AE19" s="32"/>
      <c r="AF19" s="32"/>
      <c r="AG19" s="32"/>
      <c r="AH19" s="31"/>
      <c r="AI19" s="31"/>
    </row>
    <row r="20" spans="1:35">
      <c r="A20" s="91"/>
      <c r="B20" s="100"/>
      <c r="C20" s="100"/>
      <c r="D20" s="100"/>
      <c r="E20" s="100"/>
      <c r="F20" s="100"/>
      <c r="G20" s="100"/>
      <c r="H20" s="100"/>
      <c r="I20" s="100"/>
      <c r="J20" s="100"/>
      <c r="K20" s="394"/>
      <c r="L20" s="100"/>
      <c r="M20" s="100"/>
      <c r="N20" s="108"/>
      <c r="O20" s="98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09"/>
      <c r="AA20" s="115"/>
      <c r="AB20" s="119"/>
      <c r="AC20" s="49"/>
      <c r="AD20" s="32"/>
      <c r="AE20" s="32"/>
      <c r="AF20" s="32"/>
      <c r="AG20" s="32"/>
      <c r="AH20" s="31"/>
      <c r="AI20" s="31"/>
    </row>
    <row r="21" spans="1:35" ht="15">
      <c r="A21" s="91"/>
      <c r="B21" s="100"/>
      <c r="C21" s="198"/>
      <c r="D21" s="144"/>
      <c r="E21" s="100"/>
      <c r="F21" s="100"/>
      <c r="G21" s="100"/>
      <c r="H21" s="100"/>
      <c r="I21" s="100"/>
      <c r="J21" s="100"/>
      <c r="K21" s="394"/>
      <c r="L21" s="100"/>
      <c r="M21" s="100"/>
      <c r="N21" s="108"/>
      <c r="O21" s="9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09"/>
      <c r="AA21" s="120"/>
      <c r="AB21" s="119"/>
    </row>
    <row r="22" spans="1:35" ht="15">
      <c r="A22" s="91"/>
      <c r="B22" s="100"/>
      <c r="C22" s="199" t="s">
        <v>48</v>
      </c>
      <c r="D22" s="198" t="s">
        <v>48</v>
      </c>
      <c r="E22" s="100"/>
      <c r="F22" s="100"/>
      <c r="G22" s="100"/>
      <c r="H22" s="100"/>
      <c r="I22" s="100"/>
      <c r="J22" s="100"/>
      <c r="K22" s="394"/>
      <c r="L22" s="100"/>
      <c r="M22" s="100"/>
      <c r="N22" s="108"/>
      <c r="O22" s="9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09"/>
      <c r="AA22" s="120"/>
      <c r="AB22" s="119"/>
    </row>
    <row r="23" spans="1:35" ht="15">
      <c r="A23" s="91"/>
      <c r="B23" s="92"/>
      <c r="C23" s="197"/>
      <c r="D23" s="197"/>
      <c r="E23" s="92"/>
      <c r="F23" s="92"/>
      <c r="G23" s="92"/>
      <c r="H23" s="92"/>
      <c r="I23" s="92"/>
      <c r="J23" s="92"/>
      <c r="K23" s="394"/>
      <c r="L23" s="92"/>
      <c r="M23" s="92"/>
      <c r="N23" s="108"/>
      <c r="O23" s="98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109"/>
      <c r="AA23" s="120"/>
      <c r="AB23" s="119"/>
    </row>
    <row r="24" spans="1:35">
      <c r="A24" s="91"/>
      <c r="B24" s="100"/>
      <c r="C24" s="100" t="s">
        <v>48</v>
      </c>
      <c r="D24" s="200" t="s">
        <v>48</v>
      </c>
      <c r="E24" s="100"/>
      <c r="F24" s="100"/>
      <c r="G24" s="100"/>
      <c r="H24" s="100"/>
      <c r="I24" s="100"/>
      <c r="J24" s="100"/>
      <c r="K24" s="394"/>
      <c r="L24" s="100"/>
      <c r="M24" s="100"/>
      <c r="N24" s="108"/>
      <c r="O24" s="9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09"/>
      <c r="AA24" s="120"/>
      <c r="AB24" s="119"/>
    </row>
    <row r="25" spans="1:35">
      <c r="A25" s="91"/>
      <c r="B25" s="100"/>
      <c r="C25" s="100" t="s">
        <v>106</v>
      </c>
      <c r="D25" s="100"/>
      <c r="E25" s="100"/>
      <c r="F25" s="100"/>
      <c r="G25" s="100"/>
      <c r="H25" s="100"/>
      <c r="I25" s="100"/>
      <c r="J25" s="100"/>
      <c r="K25" s="394"/>
      <c r="L25" s="100"/>
      <c r="M25" s="100"/>
      <c r="N25" s="108"/>
      <c r="O25" s="98"/>
      <c r="P25" s="118"/>
      <c r="Q25" s="118"/>
      <c r="R25" s="118"/>
      <c r="S25" s="118"/>
      <c r="T25" s="118"/>
      <c r="U25" s="118"/>
      <c r="V25" s="118"/>
      <c r="W25" s="118"/>
      <c r="X25" s="118"/>
      <c r="Y25" s="118"/>
      <c r="Z25" s="109"/>
      <c r="AA25" s="120"/>
      <c r="AB25" s="119"/>
    </row>
    <row r="26" spans="1:35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394"/>
      <c r="L26" s="92"/>
      <c r="M26" s="92"/>
      <c r="N26" s="108"/>
      <c r="O26" s="98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109"/>
      <c r="AA26" s="120"/>
      <c r="AB26" s="119"/>
    </row>
    <row r="27" spans="1:35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394"/>
      <c r="L27" s="92"/>
      <c r="M27" s="92"/>
      <c r="N27" s="108"/>
      <c r="O27" s="98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109"/>
      <c r="AA27" s="120"/>
      <c r="AB27" s="119"/>
    </row>
    <row r="28" spans="1:35">
      <c r="A28" s="91"/>
      <c r="B28" s="100"/>
      <c r="C28" s="100"/>
      <c r="D28" s="100"/>
      <c r="E28" s="100"/>
      <c r="F28" s="100"/>
      <c r="G28" s="100"/>
      <c r="H28" s="100"/>
      <c r="I28" s="100"/>
      <c r="J28" s="100"/>
      <c r="K28" s="394"/>
      <c r="L28" s="100"/>
      <c r="M28" s="100"/>
      <c r="N28" s="108"/>
      <c r="O28" s="98"/>
      <c r="P28" s="118"/>
      <c r="Q28" s="118"/>
      <c r="R28" s="118"/>
      <c r="S28" s="118"/>
      <c r="T28" s="118"/>
      <c r="U28" s="118"/>
      <c r="V28" s="118"/>
      <c r="W28" s="118"/>
      <c r="X28" s="118"/>
      <c r="Y28" s="118"/>
      <c r="Z28" s="109"/>
      <c r="AA28" s="120"/>
      <c r="AB28" s="119"/>
    </row>
    <row r="29" spans="1:35">
      <c r="A29" s="91"/>
      <c r="B29" s="100"/>
      <c r="C29" s="100"/>
      <c r="D29" s="100"/>
      <c r="E29" s="100"/>
      <c r="F29" s="100"/>
      <c r="G29" s="100"/>
      <c r="H29" s="100"/>
      <c r="I29" s="100"/>
      <c r="J29" s="100"/>
      <c r="K29" s="394"/>
      <c r="L29" s="100"/>
      <c r="M29" s="100"/>
      <c r="N29" s="108"/>
      <c r="O29" s="9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09"/>
      <c r="AA29" s="120"/>
      <c r="AB29" s="119"/>
    </row>
    <row r="30" spans="1:35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394"/>
      <c r="L30" s="92"/>
      <c r="M30" s="92"/>
      <c r="N30" s="108"/>
      <c r="O30" s="98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109"/>
      <c r="AA30" s="120"/>
      <c r="AB30" s="119"/>
    </row>
    <row r="31" spans="1:35">
      <c r="A31" s="91"/>
      <c r="B31" s="121"/>
      <c r="C31" s="100"/>
      <c r="D31" s="100"/>
      <c r="E31" s="100"/>
      <c r="F31" s="100"/>
      <c r="G31" s="100"/>
      <c r="H31" s="100"/>
      <c r="I31" s="100"/>
      <c r="J31" s="100"/>
      <c r="K31" s="394"/>
      <c r="L31" s="100"/>
      <c r="M31" s="100"/>
      <c r="N31" s="108"/>
      <c r="O31" s="9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09"/>
      <c r="AA31" s="120"/>
      <c r="AB31" s="119"/>
    </row>
    <row r="32" spans="1:35">
      <c r="A32" s="91"/>
      <c r="B32" s="100"/>
      <c r="C32" s="100"/>
      <c r="D32" s="100"/>
      <c r="E32" s="100"/>
      <c r="F32" s="100"/>
      <c r="G32" s="100"/>
      <c r="H32" s="100"/>
      <c r="I32" s="100"/>
      <c r="J32" s="100"/>
      <c r="K32" s="394"/>
      <c r="L32" s="100"/>
      <c r="M32" s="100"/>
      <c r="N32" s="109"/>
      <c r="O32" s="9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09"/>
      <c r="AA32" s="120"/>
      <c r="AB32" s="90"/>
    </row>
    <row r="33" spans="1:28">
      <c r="A33" s="91"/>
      <c r="B33" s="92"/>
      <c r="C33" s="92"/>
      <c r="D33" s="191"/>
      <c r="E33" s="76"/>
      <c r="F33" s="76"/>
      <c r="G33" s="92"/>
      <c r="H33" s="92"/>
      <c r="I33" s="92"/>
      <c r="J33" s="92"/>
      <c r="K33" s="394"/>
      <c r="L33" s="92"/>
      <c r="M33" s="92"/>
      <c r="N33" s="108"/>
      <c r="O33" s="98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109"/>
      <c r="AA33" s="120"/>
      <c r="AB33" s="119"/>
    </row>
    <row r="34" spans="1:28">
      <c r="A34" s="91"/>
      <c r="B34" s="100"/>
      <c r="C34" s="100"/>
      <c r="D34" s="76"/>
      <c r="E34" s="76"/>
      <c r="F34" s="189"/>
      <c r="G34" s="184"/>
      <c r="H34" s="184"/>
      <c r="I34" s="184"/>
      <c r="J34" s="100"/>
      <c r="K34" s="394"/>
      <c r="L34" s="100"/>
      <c r="M34" s="100"/>
      <c r="N34" s="108"/>
      <c r="O34" s="9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09"/>
      <c r="AA34" s="120"/>
      <c r="AB34" s="119"/>
    </row>
    <row r="35" spans="1:28">
      <c r="A35" s="85"/>
      <c r="B35" s="100"/>
      <c r="C35" s="92"/>
      <c r="D35" s="76"/>
      <c r="E35" s="76"/>
      <c r="F35" s="76"/>
      <c r="G35" s="92"/>
      <c r="H35" s="92"/>
      <c r="I35" s="92"/>
      <c r="J35" s="92"/>
      <c r="K35" s="394"/>
      <c r="L35" s="92"/>
      <c r="M35" s="92"/>
      <c r="N35" s="108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109"/>
      <c r="AA35" s="120"/>
      <c r="AB35" s="119"/>
    </row>
    <row r="36" spans="1:28">
      <c r="A36" s="85"/>
      <c r="B36" s="92"/>
      <c r="C36" s="92"/>
      <c r="D36" s="92"/>
      <c r="E36" s="92"/>
      <c r="F36" s="92"/>
      <c r="G36" s="92"/>
      <c r="H36" s="92"/>
      <c r="I36" s="92"/>
      <c r="J36" s="92"/>
      <c r="K36" s="394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120"/>
      <c r="AB36" s="90"/>
    </row>
    <row r="37" spans="1:28">
      <c r="A37" s="85"/>
      <c r="B37" s="92"/>
      <c r="C37" s="92"/>
      <c r="D37" s="92"/>
      <c r="E37" s="92"/>
      <c r="F37" s="92"/>
      <c r="G37" s="92"/>
      <c r="H37" s="92"/>
      <c r="I37" s="92"/>
      <c r="J37" s="92"/>
      <c r="K37" s="394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120"/>
      <c r="AB37" s="90"/>
    </row>
    <row r="38" spans="1:28">
      <c r="A38" s="111"/>
      <c r="B38" s="94"/>
      <c r="C38" s="94"/>
      <c r="D38" s="94"/>
      <c r="E38" s="94"/>
      <c r="F38" s="94"/>
      <c r="G38" s="94"/>
      <c r="H38" s="94"/>
      <c r="I38" s="94"/>
      <c r="J38" s="94"/>
      <c r="K38" s="395"/>
      <c r="L38" s="94"/>
      <c r="M38" s="94"/>
      <c r="N38" s="94"/>
      <c r="O38" s="92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120"/>
      <c r="AB38" s="90"/>
    </row>
    <row r="39" spans="1:28">
      <c r="A39" s="91"/>
      <c r="B39" s="92"/>
      <c r="C39" s="92"/>
      <c r="D39" s="92"/>
      <c r="E39" s="92"/>
      <c r="F39" s="92"/>
      <c r="G39" s="92"/>
      <c r="H39" s="92"/>
      <c r="I39" s="92"/>
      <c r="J39" s="92"/>
      <c r="K39" s="394"/>
      <c r="L39" s="92"/>
      <c r="M39" s="92"/>
      <c r="N39" s="108"/>
      <c r="O39" s="98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109"/>
      <c r="AA39" s="120"/>
      <c r="AB39" s="119"/>
    </row>
    <row r="40" spans="1:28">
      <c r="A40" s="91"/>
      <c r="B40" s="92"/>
      <c r="C40" s="92"/>
      <c r="D40" s="92"/>
      <c r="E40" s="92"/>
      <c r="F40" s="92"/>
      <c r="G40" s="92"/>
      <c r="H40" s="92"/>
      <c r="I40" s="92"/>
      <c r="J40" s="92"/>
      <c r="K40" s="394"/>
      <c r="L40" s="92"/>
      <c r="M40" s="92"/>
      <c r="N40" s="108"/>
      <c r="O40" s="98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109"/>
      <c r="AA40" s="120"/>
      <c r="AB40" s="119"/>
    </row>
    <row r="41" spans="1:28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394"/>
      <c r="L41" s="92"/>
      <c r="M41" s="92"/>
      <c r="N41" s="108"/>
      <c r="O41" s="98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109"/>
      <c r="AA41" s="120"/>
      <c r="AB41" s="119"/>
    </row>
    <row r="42" spans="1:28">
      <c r="A42" s="91"/>
      <c r="B42" s="92"/>
      <c r="C42" s="92"/>
      <c r="D42" s="92"/>
      <c r="E42" s="92"/>
      <c r="F42" s="92"/>
      <c r="G42" s="92"/>
      <c r="H42" s="92"/>
      <c r="I42" s="92"/>
      <c r="J42" s="92"/>
      <c r="K42" s="394"/>
      <c r="L42" s="92"/>
      <c r="M42" s="92"/>
      <c r="N42" s="108"/>
      <c r="O42" s="98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109"/>
      <c r="AA42" s="120"/>
      <c r="AB42" s="119"/>
    </row>
    <row r="43" spans="1:28">
      <c r="A43" s="91"/>
      <c r="B43" s="92"/>
      <c r="C43" s="92"/>
      <c r="D43" s="92"/>
      <c r="E43" s="92"/>
      <c r="F43" s="92"/>
      <c r="G43" s="92"/>
      <c r="H43" s="92"/>
      <c r="I43" s="92"/>
      <c r="J43" s="92"/>
      <c r="K43" s="394"/>
      <c r="L43" s="92"/>
      <c r="M43" s="92"/>
      <c r="N43" s="108"/>
      <c r="O43" s="98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109"/>
      <c r="AA43" s="120"/>
      <c r="AB43" s="119"/>
    </row>
    <row r="44" spans="1:28">
      <c r="A44" s="91"/>
      <c r="B44" s="92"/>
      <c r="C44" s="92"/>
      <c r="D44" s="92"/>
      <c r="E44" s="92"/>
      <c r="F44" s="92"/>
      <c r="G44" s="92"/>
      <c r="H44" s="92"/>
      <c r="I44" s="92"/>
      <c r="J44" s="92"/>
      <c r="K44" s="394"/>
      <c r="L44" s="92"/>
      <c r="M44" s="92"/>
      <c r="N44" s="108"/>
      <c r="O44" s="98"/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109"/>
      <c r="AA44" s="120"/>
      <c r="AB44" s="119"/>
    </row>
    <row r="45" spans="1:28">
      <c r="A45" s="91"/>
      <c r="B45" s="92"/>
      <c r="C45" s="92"/>
      <c r="D45" s="92"/>
      <c r="E45" s="92"/>
      <c r="F45" s="92"/>
      <c r="G45" s="92"/>
      <c r="H45" s="92"/>
      <c r="I45" s="92"/>
      <c r="J45" s="92"/>
      <c r="K45" s="394"/>
      <c r="L45" s="92"/>
      <c r="M45" s="92"/>
      <c r="N45" s="108"/>
      <c r="O45" s="98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109"/>
      <c r="AA45" s="120"/>
      <c r="AB45" s="119"/>
    </row>
    <row r="46" spans="1:28">
      <c r="A46" s="91"/>
      <c r="B46" s="92"/>
      <c r="C46" s="92"/>
      <c r="D46" s="92"/>
      <c r="E46" s="92"/>
      <c r="F46" s="92"/>
      <c r="G46" s="92"/>
      <c r="H46" s="92"/>
      <c r="I46" s="92"/>
      <c r="J46" s="92"/>
      <c r="K46" s="394"/>
      <c r="L46" s="92"/>
      <c r="M46" s="92"/>
      <c r="N46" s="108"/>
      <c r="O46" s="98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109"/>
      <c r="AA46" s="120"/>
      <c r="AB46" s="119"/>
    </row>
    <row r="47" spans="1:28">
      <c r="A47" s="91"/>
      <c r="B47" s="92"/>
      <c r="C47" s="92"/>
      <c r="D47" s="92"/>
      <c r="E47" s="92"/>
      <c r="F47" s="92"/>
      <c r="G47" s="92"/>
      <c r="H47" s="92"/>
      <c r="I47" s="92"/>
      <c r="J47" s="92"/>
      <c r="K47" s="394"/>
      <c r="L47" s="92"/>
      <c r="M47" s="92"/>
      <c r="N47" s="108"/>
      <c r="O47" s="98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109"/>
      <c r="AA47" s="120"/>
      <c r="AB47" s="119"/>
    </row>
    <row r="48" spans="1:28">
      <c r="A48" s="91"/>
      <c r="B48" s="92"/>
      <c r="C48" s="92"/>
      <c r="D48" s="92"/>
      <c r="E48" s="92"/>
      <c r="F48" s="92"/>
      <c r="G48" s="92"/>
      <c r="H48" s="92"/>
      <c r="I48" s="92"/>
      <c r="J48" s="92"/>
      <c r="K48" s="394"/>
      <c r="L48" s="92"/>
      <c r="M48" s="92"/>
      <c r="N48" s="108"/>
      <c r="O48" s="98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109"/>
      <c r="AA48" s="120"/>
      <c r="AB48" s="119"/>
    </row>
    <row r="49" spans="1:28">
      <c r="A49" s="91"/>
      <c r="B49" s="92"/>
      <c r="C49" s="92"/>
      <c r="D49" s="92"/>
      <c r="E49" s="92"/>
      <c r="F49" s="92"/>
      <c r="G49" s="92"/>
      <c r="H49" s="92"/>
      <c r="I49" s="92"/>
      <c r="J49" s="92"/>
      <c r="K49" s="394"/>
      <c r="L49" s="92"/>
      <c r="M49" s="92"/>
      <c r="N49" s="108"/>
      <c r="O49" s="98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109"/>
      <c r="AA49" s="120"/>
      <c r="AB49" s="119"/>
    </row>
    <row r="50" spans="1:28">
      <c r="A50" s="91"/>
      <c r="B50" s="92"/>
      <c r="C50" s="92"/>
      <c r="D50" s="92"/>
      <c r="E50" s="92"/>
      <c r="F50" s="92"/>
      <c r="G50" s="92"/>
      <c r="H50" s="92"/>
      <c r="I50" s="92"/>
      <c r="J50" s="92"/>
      <c r="K50" s="394"/>
      <c r="L50" s="92"/>
      <c r="M50" s="92"/>
      <c r="N50" s="108"/>
      <c r="O50" s="98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109"/>
      <c r="AA50" s="120"/>
      <c r="AB50" s="119"/>
    </row>
    <row r="51" spans="1:28">
      <c r="A51" s="91"/>
      <c r="B51" s="92"/>
      <c r="C51" s="92"/>
      <c r="D51" s="92"/>
      <c r="E51" s="92"/>
      <c r="F51" s="92"/>
      <c r="G51" s="92"/>
      <c r="H51" s="92"/>
      <c r="I51" s="92"/>
      <c r="J51" s="92"/>
      <c r="K51" s="394"/>
      <c r="L51" s="92"/>
      <c r="M51" s="92"/>
      <c r="N51" s="108"/>
      <c r="O51" s="98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109"/>
      <c r="AA51" s="120"/>
      <c r="AB51" s="119"/>
    </row>
    <row r="52" spans="1:28">
      <c r="A52" s="91"/>
      <c r="B52" s="100"/>
      <c r="C52" s="100"/>
      <c r="D52" s="100"/>
      <c r="E52" s="100"/>
      <c r="F52" s="100"/>
      <c r="G52" s="100"/>
      <c r="H52" s="100"/>
      <c r="I52" s="100"/>
      <c r="J52" s="100"/>
      <c r="K52" s="394"/>
      <c r="L52" s="100"/>
      <c r="M52" s="100"/>
      <c r="N52" s="109"/>
      <c r="O52" s="98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9"/>
      <c r="AA52" s="120"/>
      <c r="AB52" s="90"/>
    </row>
    <row r="53" spans="1:28">
      <c r="A53" s="91"/>
      <c r="B53" s="92"/>
      <c r="C53" s="92"/>
      <c r="D53" s="92"/>
      <c r="E53" s="92"/>
      <c r="F53" s="92"/>
      <c r="G53" s="92"/>
      <c r="H53" s="92"/>
      <c r="I53" s="92"/>
      <c r="J53" s="92"/>
      <c r="K53" s="394"/>
      <c r="L53" s="92"/>
      <c r="M53" s="92"/>
      <c r="N53" s="108"/>
      <c r="O53" s="98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109"/>
      <c r="AA53" s="120"/>
      <c r="AB53" s="119"/>
    </row>
    <row r="54" spans="1:28">
      <c r="A54" s="91"/>
      <c r="B54" s="92"/>
      <c r="C54" s="92"/>
      <c r="D54" s="92"/>
      <c r="E54" s="92"/>
      <c r="F54" s="92"/>
      <c r="G54" s="92"/>
      <c r="H54" s="92"/>
      <c r="I54" s="92"/>
      <c r="J54" s="92"/>
      <c r="K54" s="394"/>
      <c r="L54" s="92"/>
      <c r="M54" s="92"/>
      <c r="N54" s="108"/>
      <c r="O54" s="98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109"/>
      <c r="AA54" s="120"/>
      <c r="AB54" s="119"/>
    </row>
    <row r="55" spans="1:28">
      <c r="A55" s="96"/>
      <c r="B55" s="120"/>
      <c r="C55" s="120"/>
      <c r="D55" s="120"/>
      <c r="E55" s="120"/>
      <c r="F55" s="120"/>
      <c r="G55" s="120"/>
      <c r="H55" s="120"/>
      <c r="I55" s="120"/>
      <c r="J55" s="120"/>
      <c r="K55" s="396"/>
      <c r="L55" s="120"/>
      <c r="M55" s="120"/>
      <c r="N55" s="112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13"/>
      <c r="AA55" s="120"/>
      <c r="AB55" s="90"/>
    </row>
    <row r="56" spans="1:28">
      <c r="A56" s="96"/>
      <c r="B56" s="120"/>
      <c r="C56" s="120"/>
      <c r="D56" s="120"/>
      <c r="E56" s="120"/>
      <c r="F56" s="120"/>
      <c r="G56" s="120"/>
      <c r="H56" s="120"/>
      <c r="I56" s="120"/>
      <c r="J56" s="120"/>
      <c r="K56" s="396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90"/>
    </row>
    <row r="57" spans="1:28">
      <c r="A57" s="96"/>
      <c r="B57" s="90"/>
      <c r="C57" s="90"/>
      <c r="D57" s="90"/>
      <c r="E57" s="90"/>
      <c r="F57" s="90"/>
      <c r="G57" s="90"/>
      <c r="H57" s="90"/>
      <c r="I57" s="90"/>
      <c r="J57" s="90"/>
      <c r="K57" s="397"/>
      <c r="L57" s="90"/>
      <c r="M57" s="90"/>
      <c r="N57" s="12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</row>
    <row r="58" spans="1:28">
      <c r="A58" s="96"/>
      <c r="B58" s="97"/>
      <c r="C58" s="97"/>
      <c r="D58" s="97"/>
      <c r="E58" s="97"/>
      <c r="F58" s="97"/>
      <c r="G58" s="97"/>
      <c r="H58" s="97"/>
      <c r="I58" s="97"/>
      <c r="J58" s="97"/>
      <c r="K58" s="398"/>
      <c r="L58" s="97"/>
      <c r="M58" s="97"/>
      <c r="N58" s="110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</row>
    <row r="59" spans="1:28">
      <c r="A59" s="96"/>
      <c r="B59" s="97"/>
      <c r="C59" s="97"/>
      <c r="D59" s="97"/>
      <c r="E59" s="97"/>
      <c r="F59" s="97"/>
      <c r="G59" s="97"/>
      <c r="H59" s="97"/>
      <c r="I59" s="97"/>
      <c r="J59" s="97"/>
      <c r="K59" s="398"/>
      <c r="L59" s="97"/>
      <c r="M59" s="97"/>
      <c r="N59" s="110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</row>
    <row r="60" spans="1:28">
      <c r="A60" s="96"/>
      <c r="B60" s="97"/>
      <c r="C60" s="97"/>
      <c r="D60" s="97"/>
      <c r="E60" s="97"/>
      <c r="F60" s="97"/>
      <c r="G60" s="97"/>
      <c r="H60" s="97"/>
      <c r="I60" s="97"/>
      <c r="J60" s="97"/>
      <c r="K60" s="398"/>
      <c r="L60" s="97"/>
      <c r="M60" s="97"/>
      <c r="N60" s="110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</row>
    <row r="61" spans="1:28">
      <c r="A61" s="96"/>
      <c r="B61" s="97"/>
      <c r="C61" s="97"/>
      <c r="D61" s="97"/>
      <c r="E61" s="97"/>
      <c r="F61" s="97"/>
      <c r="G61" s="97"/>
      <c r="H61" s="97"/>
      <c r="I61" s="97"/>
      <c r="J61" s="97"/>
      <c r="K61" s="398"/>
      <c r="L61" s="97"/>
      <c r="M61" s="97"/>
      <c r="N61" s="110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</row>
    <row r="62" spans="1:28">
      <c r="A62" s="96"/>
      <c r="B62" s="96"/>
      <c r="C62" s="96"/>
      <c r="D62" s="96"/>
      <c r="E62" s="96"/>
      <c r="F62" s="96"/>
      <c r="G62" s="96"/>
      <c r="H62" s="96"/>
      <c r="I62" s="96"/>
      <c r="J62" s="96"/>
      <c r="K62" s="399"/>
      <c r="L62" s="97"/>
      <c r="M62" s="97"/>
      <c r="N62" s="110"/>
      <c r="O62" s="97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6"/>
      <c r="AA62" s="96"/>
      <c r="AB62" s="97"/>
    </row>
    <row r="63" spans="1:28">
      <c r="A63" s="96"/>
      <c r="B63" s="96"/>
      <c r="C63" s="96"/>
      <c r="D63" s="96"/>
      <c r="E63" s="96"/>
      <c r="F63" s="96"/>
      <c r="G63" s="96"/>
      <c r="H63" s="96"/>
      <c r="I63" s="96"/>
      <c r="J63" s="96"/>
      <c r="K63" s="399"/>
      <c r="L63" s="97"/>
      <c r="M63" s="97"/>
      <c r="N63" s="110"/>
      <c r="O63" s="97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6"/>
      <c r="AA63" s="96"/>
      <c r="AB63" s="97"/>
    </row>
    <row r="64" spans="1:28">
      <c r="N64" s="42"/>
    </row>
    <row r="65" spans="14:14">
      <c r="N65" s="42"/>
    </row>
    <row r="66" spans="14:14">
      <c r="N66" s="42"/>
    </row>
    <row r="67" spans="14:14">
      <c r="N67" s="42"/>
    </row>
    <row r="68" spans="14:14">
      <c r="N68" s="42"/>
    </row>
    <row r="69" spans="14:14">
      <c r="N69" s="42"/>
    </row>
    <row r="70" spans="14:14">
      <c r="N70" s="42"/>
    </row>
    <row r="71" spans="14:14">
      <c r="N71" s="42"/>
    </row>
    <row r="72" spans="14:14">
      <c r="N72" s="42"/>
    </row>
    <row r="73" spans="14:14">
      <c r="N73" s="42"/>
    </row>
    <row r="74" spans="14:14">
      <c r="N74" s="42"/>
    </row>
    <row r="75" spans="14:14">
      <c r="N75" s="42"/>
    </row>
    <row r="76" spans="14:14">
      <c r="N76" s="42"/>
    </row>
    <row r="77" spans="14:14">
      <c r="N77" s="42"/>
    </row>
    <row r="78" spans="14:14">
      <c r="N78" s="42"/>
    </row>
    <row r="79" spans="14:14">
      <c r="N79" s="42"/>
    </row>
    <row r="80" spans="14:14">
      <c r="N80" s="42"/>
    </row>
    <row r="81" spans="14:14">
      <c r="N81" s="42"/>
    </row>
    <row r="82" spans="14:14">
      <c r="N82" s="42"/>
    </row>
    <row r="83" spans="14:14">
      <c r="N83" s="42"/>
    </row>
    <row r="84" spans="14:14">
      <c r="N84" s="42"/>
    </row>
    <row r="85" spans="14:14">
      <c r="N85" s="42"/>
    </row>
    <row r="86" spans="14:14">
      <c r="N86" s="42"/>
    </row>
    <row r="87" spans="14:14">
      <c r="N87" s="42"/>
    </row>
    <row r="88" spans="14:14">
      <c r="N88" s="42"/>
    </row>
    <row r="89" spans="14:14">
      <c r="N89" s="42"/>
    </row>
    <row r="90" spans="14:14">
      <c r="N90" s="42"/>
    </row>
    <row r="91" spans="14:14">
      <c r="N91" s="42"/>
    </row>
    <row r="92" spans="14:14">
      <c r="N92" s="42"/>
    </row>
    <row r="93" spans="14:14">
      <c r="N93" s="42"/>
    </row>
    <row r="94" spans="14:14">
      <c r="N94" s="42"/>
    </row>
    <row r="95" spans="14:14">
      <c r="N95" s="42"/>
    </row>
    <row r="96" spans="14:14">
      <c r="N96" s="42"/>
    </row>
    <row r="97" spans="14:14">
      <c r="N97" s="42"/>
    </row>
  </sheetData>
  <phoneticPr fontId="18" type="noConversion"/>
  <pageMargins left="0.75" right="0.75" top="1" bottom="1" header="0.5" footer="0.5"/>
  <pageSetup scale="8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2.75"/>
  <cols>
    <col min="1" max="1" width="37.7109375" customWidth="1"/>
    <col min="2" max="2" width="17.7109375" bestFit="1" customWidth="1"/>
    <col min="3" max="3" width="14.7109375" style="183" customWidth="1"/>
  </cols>
  <sheetData>
    <row r="1" spans="1:5" ht="18.75">
      <c r="A1" s="7" t="s">
        <v>207</v>
      </c>
      <c r="B1" s="6"/>
      <c r="C1" s="309"/>
      <c r="D1" s="6"/>
      <c r="E1" s="6"/>
    </row>
    <row r="2" spans="1:5">
      <c r="A2" s="6"/>
      <c r="B2" s="10"/>
      <c r="C2" s="309"/>
      <c r="D2" s="6"/>
      <c r="E2" s="6"/>
    </row>
    <row r="3" spans="1:5">
      <c r="A3" s="12"/>
      <c r="B3" s="15" t="s">
        <v>17</v>
      </c>
      <c r="C3" s="57" t="s">
        <v>14</v>
      </c>
      <c r="D3" s="6"/>
      <c r="E3" s="6"/>
    </row>
    <row r="4" spans="1:5" ht="15">
      <c r="A4" s="239" t="s">
        <v>120</v>
      </c>
      <c r="B4" s="440" t="s">
        <v>61</v>
      </c>
      <c r="C4" s="57">
        <f>IF(B4="fail",0,50)</f>
        <v>50</v>
      </c>
      <c r="D4" s="6"/>
      <c r="E4" s="6"/>
    </row>
    <row r="5" spans="1:5" ht="15">
      <c r="A5" s="239" t="s">
        <v>121</v>
      </c>
      <c r="B5" s="440" t="s">
        <v>61</v>
      </c>
      <c r="C5" s="57">
        <f t="shared" ref="C5:C16" si="0">IF(B5="fail",0,50)</f>
        <v>50</v>
      </c>
      <c r="D5" s="6"/>
      <c r="E5" s="6"/>
    </row>
    <row r="6" spans="1:5" ht="15">
      <c r="A6" s="239" t="s">
        <v>122</v>
      </c>
      <c r="B6" s="440" t="s">
        <v>61</v>
      </c>
      <c r="C6" s="57">
        <f t="shared" si="0"/>
        <v>50</v>
      </c>
      <c r="D6" s="6"/>
      <c r="E6" s="6"/>
    </row>
    <row r="7" spans="1:5" s="243" customFormat="1" ht="15">
      <c r="A7" s="287" t="s">
        <v>160</v>
      </c>
      <c r="B7" s="440" t="s">
        <v>61</v>
      </c>
      <c r="C7" s="57">
        <f t="shared" si="0"/>
        <v>50</v>
      </c>
      <c r="D7" s="255"/>
      <c r="E7" s="255"/>
    </row>
    <row r="8" spans="1:5" s="320" customFormat="1" ht="15">
      <c r="A8" s="287" t="s">
        <v>161</v>
      </c>
      <c r="B8" s="440" t="s">
        <v>148</v>
      </c>
      <c r="C8" s="57">
        <v>0</v>
      </c>
      <c r="D8" s="319"/>
      <c r="E8" s="319"/>
    </row>
    <row r="9" spans="1:5" ht="15">
      <c r="A9" s="239" t="s">
        <v>162</v>
      </c>
      <c r="B9" s="440" t="s">
        <v>148</v>
      </c>
      <c r="C9" s="57">
        <v>0</v>
      </c>
      <c r="D9" s="6"/>
      <c r="E9" s="6"/>
    </row>
    <row r="10" spans="1:5" ht="15">
      <c r="A10" s="239" t="s">
        <v>123</v>
      </c>
      <c r="B10" s="440" t="s">
        <v>61</v>
      </c>
      <c r="C10" s="57">
        <f t="shared" si="0"/>
        <v>50</v>
      </c>
      <c r="D10" s="6"/>
      <c r="E10" s="6"/>
    </row>
    <row r="11" spans="1:5" ht="15">
      <c r="A11" s="239" t="s">
        <v>163</v>
      </c>
      <c r="B11" s="440" t="s">
        <v>148</v>
      </c>
      <c r="C11" s="57">
        <v>0</v>
      </c>
      <c r="D11" s="6"/>
      <c r="E11" s="6"/>
    </row>
    <row r="12" spans="1:5" ht="15">
      <c r="A12" s="239" t="s">
        <v>124</v>
      </c>
      <c r="B12" s="440" t="s">
        <v>148</v>
      </c>
      <c r="C12" s="57">
        <v>0</v>
      </c>
      <c r="D12" s="6"/>
      <c r="E12" s="6"/>
    </row>
    <row r="13" spans="1:5" s="146" customFormat="1" ht="15">
      <c r="A13" s="239" t="s">
        <v>164</v>
      </c>
      <c r="B13" s="440" t="s">
        <v>148</v>
      </c>
      <c r="C13" s="57">
        <v>0</v>
      </c>
      <c r="D13" s="139"/>
      <c r="E13" s="139"/>
    </row>
    <row r="14" spans="1:5" ht="15">
      <c r="A14" s="239" t="s">
        <v>165</v>
      </c>
      <c r="B14" s="440" t="s">
        <v>148</v>
      </c>
      <c r="C14" s="57">
        <v>0</v>
      </c>
    </row>
    <row r="15" spans="1:5" ht="15">
      <c r="A15" s="239" t="s">
        <v>166</v>
      </c>
      <c r="B15" s="440" t="s">
        <v>61</v>
      </c>
      <c r="C15" s="57">
        <f t="shared" si="0"/>
        <v>50</v>
      </c>
    </row>
    <row r="16" spans="1:5" ht="15">
      <c r="A16" s="239" t="s">
        <v>167</v>
      </c>
      <c r="B16" s="441" t="s">
        <v>61</v>
      </c>
      <c r="C16" s="57">
        <f t="shared" si="0"/>
        <v>50</v>
      </c>
    </row>
  </sheetData>
  <phoneticPr fontId="18" type="noConversion"/>
  <printOptions gridLines="1"/>
  <pageMargins left="0.75" right="0.75" top="1" bottom="1" header="0.5" footer="0.5"/>
  <pageSetup orientation="landscape" horizontalDpi="4294967294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"/>
  <sheetViews>
    <sheetView workbookViewId="0"/>
  </sheetViews>
  <sheetFormatPr defaultRowHeight="12.75"/>
  <cols>
    <col min="1" max="1" width="36.42578125" customWidth="1"/>
    <col min="2" max="2" width="10" customWidth="1"/>
    <col min="3" max="3" width="10.28515625" customWidth="1"/>
    <col min="4" max="4" width="13.42578125" customWidth="1"/>
    <col min="5" max="5" width="10.140625" customWidth="1"/>
    <col min="6" max="6" width="10" customWidth="1"/>
    <col min="7" max="7" width="11" customWidth="1"/>
    <col min="8" max="8" width="48" customWidth="1"/>
    <col min="9" max="10" width="10" customWidth="1"/>
  </cols>
  <sheetData>
    <row r="1" spans="1:12" ht="18.75">
      <c r="A1" s="7" t="s">
        <v>309</v>
      </c>
      <c r="B1" s="6"/>
      <c r="C1" s="6"/>
      <c r="D1" s="6"/>
      <c r="E1" s="6"/>
      <c r="F1" s="6"/>
      <c r="G1" s="6"/>
      <c r="H1" s="6"/>
      <c r="I1" s="9"/>
      <c r="J1" s="6"/>
      <c r="K1" s="6"/>
      <c r="L1" s="6"/>
    </row>
    <row r="2" spans="1:12">
      <c r="A2" s="38"/>
      <c r="B2" s="6"/>
      <c r="D2" s="9" t="s">
        <v>37</v>
      </c>
      <c r="E2" s="70">
        <f>MAX(D6:D18)</f>
        <v>60.37</v>
      </c>
      <c r="F2" s="6" t="s">
        <v>16</v>
      </c>
      <c r="G2" s="6"/>
      <c r="H2" s="6"/>
      <c r="I2" s="9"/>
      <c r="J2" s="6"/>
      <c r="K2" s="6"/>
      <c r="L2" s="6"/>
    </row>
    <row r="3" spans="1:12">
      <c r="A3" s="8"/>
      <c r="B3" s="6"/>
      <c r="D3" s="9" t="s">
        <v>38</v>
      </c>
      <c r="E3" s="70">
        <f>MIN(D6:D18)</f>
        <v>45.97</v>
      </c>
      <c r="F3" s="6" t="s">
        <v>16</v>
      </c>
      <c r="G3" s="6"/>
      <c r="H3" s="6"/>
      <c r="I3" s="9"/>
      <c r="J3" s="6"/>
      <c r="K3" s="6"/>
      <c r="L3" s="6"/>
    </row>
    <row r="4" spans="1:12">
      <c r="A4" s="16"/>
      <c r="B4" s="16"/>
      <c r="C4" s="16"/>
      <c r="D4" s="16"/>
      <c r="E4" s="6"/>
      <c r="F4" s="16"/>
      <c r="G4" s="16"/>
      <c r="H4" s="16"/>
      <c r="I4" s="24"/>
      <c r="J4" s="6"/>
      <c r="K4" s="6"/>
      <c r="L4" s="6"/>
    </row>
    <row r="5" spans="1:12" ht="30.75" customHeight="1">
      <c r="A5" s="79"/>
      <c r="B5" s="39" t="s">
        <v>34</v>
      </c>
      <c r="C5" s="39" t="s">
        <v>35</v>
      </c>
      <c r="D5" s="39" t="s">
        <v>36</v>
      </c>
      <c r="E5" s="39" t="s">
        <v>9</v>
      </c>
      <c r="F5" s="23" t="s">
        <v>28</v>
      </c>
      <c r="G5" s="23"/>
      <c r="H5" s="124" t="s">
        <v>111</v>
      </c>
      <c r="I5" s="14"/>
      <c r="J5" s="13"/>
      <c r="K5" s="5"/>
      <c r="L5" s="6"/>
    </row>
    <row r="6" spans="1:12" ht="15">
      <c r="A6" s="239" t="s">
        <v>120</v>
      </c>
      <c r="B6" s="416">
        <v>52.22</v>
      </c>
      <c r="C6" s="416">
        <v>51.47</v>
      </c>
      <c r="D6" s="217">
        <f>MIN(B6:C6)</f>
        <v>51.47</v>
      </c>
      <c r="E6" s="59">
        <f>75*(($E$2/D6)^2-1)/(($E$2/$E$3)^2-1)</f>
        <v>38.889284362178842</v>
      </c>
      <c r="F6" s="138">
        <f t="shared" ref="F6:F18" si="0">RANK(E6,$E$6:$E$18)</f>
        <v>6</v>
      </c>
      <c r="G6" s="53"/>
      <c r="H6" s="144"/>
      <c r="I6" s="26"/>
      <c r="J6" s="27"/>
      <c r="K6" s="18"/>
      <c r="L6" s="6"/>
    </row>
    <row r="7" spans="1:12" ht="15">
      <c r="A7" s="239" t="s">
        <v>121</v>
      </c>
      <c r="B7" s="426">
        <v>48.15</v>
      </c>
      <c r="C7" s="426">
        <v>47.88</v>
      </c>
      <c r="D7" s="217">
        <f t="shared" ref="D7:D18" si="1">MIN(B7:C7)</f>
        <v>47.88</v>
      </c>
      <c r="E7" s="59">
        <f t="shared" ref="E7:E18" si="2">75*(($E$2/D7)^2-1)/(($E$2/$E$3)^2-1)</f>
        <v>61.042622406682838</v>
      </c>
      <c r="F7" s="138">
        <f t="shared" si="0"/>
        <v>2</v>
      </c>
      <c r="G7" s="78"/>
      <c r="H7" s="252"/>
      <c r="I7" s="26"/>
      <c r="J7" s="27"/>
      <c r="K7" s="18"/>
      <c r="L7" s="6"/>
    </row>
    <row r="8" spans="1:12" ht="15">
      <c r="A8" s="239" t="s">
        <v>122</v>
      </c>
      <c r="B8" s="427">
        <v>53.1</v>
      </c>
      <c r="C8" s="427">
        <v>51.12</v>
      </c>
      <c r="D8" s="217">
        <f t="shared" si="1"/>
        <v>51.12</v>
      </c>
      <c r="E8" s="59">
        <f t="shared" si="2"/>
        <v>40.845769359003683</v>
      </c>
      <c r="F8" s="138">
        <f t="shared" si="0"/>
        <v>5</v>
      </c>
      <c r="G8" s="53"/>
      <c r="H8" s="253"/>
      <c r="I8" s="26"/>
      <c r="J8" s="27"/>
      <c r="K8" s="18"/>
      <c r="L8" s="6"/>
    </row>
    <row r="9" spans="1:12" s="243" customFormat="1" ht="15">
      <c r="A9" s="287" t="s">
        <v>160</v>
      </c>
      <c r="B9" s="427">
        <v>62.52</v>
      </c>
      <c r="C9" s="427">
        <v>60.37</v>
      </c>
      <c r="D9" s="217">
        <f t="shared" si="1"/>
        <v>60.37</v>
      </c>
      <c r="E9" s="59">
        <f t="shared" si="2"/>
        <v>0</v>
      </c>
      <c r="F9" s="339">
        <f t="shared" si="0"/>
        <v>8</v>
      </c>
      <c r="G9" s="294"/>
      <c r="H9" s="253"/>
      <c r="I9" s="302"/>
      <c r="J9" s="240"/>
      <c r="K9" s="292"/>
      <c r="L9" s="255"/>
    </row>
    <row r="10" spans="1:12" s="243" customFormat="1" ht="15">
      <c r="A10" s="287" t="s">
        <v>161</v>
      </c>
      <c r="B10" s="426"/>
      <c r="C10" s="426"/>
      <c r="D10" s="251"/>
      <c r="E10" s="293"/>
      <c r="F10" s="339"/>
      <c r="G10" s="294"/>
      <c r="H10" s="253"/>
      <c r="I10" s="302"/>
      <c r="J10" s="240"/>
      <c r="K10" s="292"/>
      <c r="L10" s="255"/>
    </row>
    <row r="11" spans="1:12" ht="15">
      <c r="A11" s="239" t="s">
        <v>162</v>
      </c>
      <c r="B11" s="426"/>
      <c r="C11" s="426"/>
      <c r="D11" s="312" t="s">
        <v>48</v>
      </c>
      <c r="E11" s="59" t="s">
        <v>48</v>
      </c>
      <c r="F11" s="339" t="s">
        <v>48</v>
      </c>
      <c r="G11" s="53"/>
      <c r="H11" s="253"/>
      <c r="I11" s="26"/>
      <c r="J11" s="27"/>
      <c r="K11" s="18"/>
      <c r="L11" s="6"/>
    </row>
    <row r="12" spans="1:12" ht="15">
      <c r="A12" s="239" t="s">
        <v>123</v>
      </c>
      <c r="B12" s="426">
        <v>49.15</v>
      </c>
      <c r="C12" s="426">
        <v>49.19</v>
      </c>
      <c r="D12" s="217">
        <f t="shared" si="1"/>
        <v>49.15</v>
      </c>
      <c r="E12" s="59">
        <f t="shared" si="2"/>
        <v>52.64902955481648</v>
      </c>
      <c r="F12" s="138">
        <f t="shared" si="0"/>
        <v>3</v>
      </c>
      <c r="G12" s="53"/>
      <c r="H12" s="252"/>
      <c r="I12" s="26"/>
      <c r="J12" s="27"/>
      <c r="K12" s="18"/>
      <c r="L12" s="6"/>
    </row>
    <row r="13" spans="1:12" ht="15">
      <c r="A13" s="239" t="s">
        <v>163</v>
      </c>
      <c r="B13" s="426"/>
      <c r="C13" s="426"/>
      <c r="D13" s="312" t="s">
        <v>48</v>
      </c>
      <c r="E13" s="59" t="s">
        <v>48</v>
      </c>
      <c r="F13" s="339" t="s">
        <v>48</v>
      </c>
      <c r="G13" s="53"/>
      <c r="H13" s="252"/>
      <c r="I13" s="26"/>
      <c r="J13" s="27"/>
      <c r="K13" s="18"/>
      <c r="L13" s="6"/>
    </row>
    <row r="14" spans="1:12" ht="15">
      <c r="A14" s="239" t="s">
        <v>124</v>
      </c>
      <c r="B14" s="426"/>
      <c r="C14" s="426"/>
      <c r="D14" s="217"/>
      <c r="E14" s="59"/>
      <c r="F14" s="138">
        <f t="shared" si="0"/>
        <v>8</v>
      </c>
      <c r="G14" s="53"/>
      <c r="H14" s="253"/>
      <c r="I14" s="26"/>
      <c r="J14" s="27"/>
      <c r="K14" s="18"/>
      <c r="L14" s="6"/>
    </row>
    <row r="15" spans="1:12" s="146" customFormat="1" ht="15">
      <c r="A15" s="239" t="s">
        <v>164</v>
      </c>
      <c r="B15" s="426"/>
      <c r="C15" s="426"/>
      <c r="D15" s="217"/>
      <c r="E15" s="59"/>
      <c r="F15" s="138">
        <f t="shared" si="0"/>
        <v>8</v>
      </c>
      <c r="G15" s="151"/>
      <c r="H15" s="222"/>
      <c r="I15" s="159"/>
      <c r="J15" s="160"/>
      <c r="K15" s="147"/>
      <c r="L15" s="139"/>
    </row>
    <row r="16" spans="1:12" ht="15">
      <c r="A16" s="239" t="s">
        <v>165</v>
      </c>
      <c r="B16" s="426">
        <v>46.84</v>
      </c>
      <c r="C16" s="426">
        <v>45.97</v>
      </c>
      <c r="D16" s="217">
        <f t="shared" si="1"/>
        <v>45.97</v>
      </c>
      <c r="E16" s="59">
        <f t="shared" si="2"/>
        <v>75</v>
      </c>
      <c r="F16" s="138">
        <f t="shared" si="0"/>
        <v>1</v>
      </c>
      <c r="G16" s="6"/>
      <c r="H16" s="223"/>
      <c r="I16" s="6"/>
      <c r="J16" s="6"/>
      <c r="K16" s="6"/>
      <c r="L16" s="6"/>
    </row>
    <row r="17" spans="1:8" ht="15">
      <c r="A17" s="239" t="s">
        <v>166</v>
      </c>
      <c r="B17" s="426">
        <v>55.93</v>
      </c>
      <c r="C17" s="426">
        <v>51.81</v>
      </c>
      <c r="D17" s="217">
        <f t="shared" si="1"/>
        <v>51.81</v>
      </c>
      <c r="E17" s="59">
        <f t="shared" si="2"/>
        <v>37.02654067714559</v>
      </c>
      <c r="F17" s="138">
        <f t="shared" si="0"/>
        <v>7</v>
      </c>
      <c r="H17" s="144"/>
    </row>
    <row r="18" spans="1:8" ht="15">
      <c r="A18" s="239" t="s">
        <v>167</v>
      </c>
      <c r="B18" s="426">
        <v>49.88</v>
      </c>
      <c r="C18" s="426">
        <v>50.37</v>
      </c>
      <c r="D18" s="217">
        <f t="shared" si="1"/>
        <v>49.88</v>
      </c>
      <c r="E18" s="59">
        <f t="shared" si="2"/>
        <v>48.111879112966491</v>
      </c>
      <c r="F18" s="138">
        <f t="shared" si="0"/>
        <v>4</v>
      </c>
      <c r="H18" s="144"/>
    </row>
    <row r="19" spans="1:8">
      <c r="B19" s="142"/>
    </row>
  </sheetData>
  <phoneticPr fontId="18" type="noConversion"/>
  <printOptions gridLines="1"/>
  <pageMargins left="0.75" right="0.75" top="1" bottom="1" header="0.5" footer="0.5"/>
  <pageSetup scale="83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zoomScale="90" workbookViewId="0"/>
  </sheetViews>
  <sheetFormatPr defaultRowHeight="12.75"/>
  <cols>
    <col min="1" max="1" width="36.28515625" customWidth="1"/>
    <col min="2" max="2" width="12.42578125" customWidth="1"/>
    <col min="3" max="3" width="12.7109375" style="3" customWidth="1"/>
    <col min="4" max="4" width="12.28515625" customWidth="1"/>
    <col min="5" max="5" width="14" customWidth="1"/>
    <col min="6" max="6" width="10.7109375" customWidth="1"/>
    <col min="7" max="7" width="9.85546875" customWidth="1"/>
    <col min="8" max="8" width="15.7109375" style="183" customWidth="1"/>
    <col min="9" max="9" width="13.5703125" customWidth="1"/>
    <col min="10" max="10" width="5.5703125" style="183" bestFit="1" customWidth="1"/>
    <col min="11" max="11" width="19.42578125" customWidth="1"/>
  </cols>
  <sheetData>
    <row r="1" spans="1:13" ht="18.75">
      <c r="A1" s="7" t="s">
        <v>310</v>
      </c>
      <c r="B1" s="7"/>
      <c r="C1" s="18"/>
      <c r="D1" s="6"/>
      <c r="E1" s="6"/>
      <c r="F1" s="6"/>
      <c r="G1" s="6"/>
      <c r="H1" s="309"/>
      <c r="I1" s="6"/>
      <c r="J1" s="309"/>
      <c r="K1" s="6"/>
    </row>
    <row r="2" spans="1:13">
      <c r="A2" s="24"/>
      <c r="B2" s="24"/>
      <c r="C2" s="53"/>
      <c r="D2" s="24"/>
      <c r="E2" s="24"/>
      <c r="F2" s="24"/>
      <c r="G2" s="24"/>
      <c r="H2" s="340"/>
      <c r="I2" s="24"/>
      <c r="J2" s="309"/>
      <c r="K2" s="6"/>
    </row>
    <row r="3" spans="1:13" s="165" customFormat="1" ht="38.25">
      <c r="A3" s="164"/>
      <c r="B3" s="39" t="s">
        <v>43</v>
      </c>
      <c r="C3" s="39" t="s">
        <v>7</v>
      </c>
      <c r="D3" s="39" t="s">
        <v>66</v>
      </c>
      <c r="E3" s="39" t="s">
        <v>57</v>
      </c>
      <c r="F3" s="39" t="s">
        <v>112</v>
      </c>
      <c r="G3" s="39" t="s">
        <v>8</v>
      </c>
      <c r="H3" s="286" t="s">
        <v>67</v>
      </c>
      <c r="I3" s="39" t="s">
        <v>68</v>
      </c>
      <c r="J3" s="36" t="s">
        <v>65</v>
      </c>
      <c r="K3" s="39" t="s">
        <v>53</v>
      </c>
    </row>
    <row r="4" spans="1:13" ht="15">
      <c r="A4" s="239" t="s">
        <v>120</v>
      </c>
      <c r="B4" s="409"/>
      <c r="C4" s="409"/>
      <c r="D4" s="409"/>
      <c r="E4" s="409"/>
      <c r="F4" s="409"/>
      <c r="G4" s="409"/>
      <c r="H4" s="440">
        <v>0</v>
      </c>
      <c r="I4" s="409"/>
      <c r="J4" s="214">
        <f t="shared" ref="J4:J16" si="0">SUM(B4:I4)</f>
        <v>0</v>
      </c>
      <c r="K4" s="254"/>
    </row>
    <row r="5" spans="1:13" ht="15">
      <c r="A5" s="239" t="s">
        <v>121</v>
      </c>
      <c r="B5" s="409"/>
      <c r="C5" s="409"/>
      <c r="D5" s="409"/>
      <c r="E5" s="409"/>
      <c r="F5" s="409"/>
      <c r="G5" s="440"/>
      <c r="H5" s="440">
        <v>0</v>
      </c>
      <c r="I5" s="440">
        <v>-10</v>
      </c>
      <c r="J5" s="214">
        <f t="shared" si="0"/>
        <v>-10</v>
      </c>
      <c r="K5" s="308" t="s">
        <v>301</v>
      </c>
      <c r="L5" s="183"/>
    </row>
    <row r="6" spans="1:13" ht="15">
      <c r="A6" s="239" t="s">
        <v>122</v>
      </c>
      <c r="B6" s="409"/>
      <c r="C6" s="440">
        <v>-10</v>
      </c>
      <c r="D6" s="409"/>
      <c r="E6" s="409"/>
      <c r="F6" s="409"/>
      <c r="G6" s="409"/>
      <c r="H6" s="440">
        <v>100</v>
      </c>
      <c r="I6" s="409"/>
      <c r="J6" s="214">
        <f t="shared" si="0"/>
        <v>90</v>
      </c>
      <c r="K6" s="308" t="s">
        <v>287</v>
      </c>
    </row>
    <row r="7" spans="1:13" s="243" customFormat="1" ht="15">
      <c r="A7" s="287" t="s">
        <v>160</v>
      </c>
      <c r="B7" s="409"/>
      <c r="C7" s="409"/>
      <c r="D7" s="409"/>
      <c r="E7" s="409"/>
      <c r="F7" s="409"/>
      <c r="G7" s="409"/>
      <c r="H7" s="440">
        <v>0</v>
      </c>
      <c r="I7" s="409"/>
      <c r="J7" s="214">
        <f t="shared" si="0"/>
        <v>0</v>
      </c>
      <c r="K7" s="254"/>
    </row>
    <row r="8" spans="1:13" s="243" customFormat="1" ht="15">
      <c r="A8" s="287" t="s">
        <v>161</v>
      </c>
      <c r="B8" s="409"/>
      <c r="C8" s="409"/>
      <c r="D8" s="409"/>
      <c r="E8" s="409"/>
      <c r="F8" s="409"/>
      <c r="G8" s="409"/>
      <c r="H8" s="440">
        <v>0</v>
      </c>
      <c r="I8" s="440">
        <v>-20</v>
      </c>
      <c r="J8" s="214">
        <f t="shared" si="0"/>
        <v>-20</v>
      </c>
      <c r="K8" s="308" t="s">
        <v>299</v>
      </c>
      <c r="M8" s="183" t="s">
        <v>300</v>
      </c>
    </row>
    <row r="9" spans="1:13" ht="15">
      <c r="A9" s="239" t="s">
        <v>162</v>
      </c>
      <c r="B9" s="409"/>
      <c r="C9" s="409"/>
      <c r="D9" s="409"/>
      <c r="E9" s="409"/>
      <c r="F9" s="409"/>
      <c r="G9" s="409"/>
      <c r="H9" s="440">
        <v>0</v>
      </c>
      <c r="I9" s="409"/>
      <c r="J9" s="214">
        <f t="shared" si="0"/>
        <v>0</v>
      </c>
      <c r="K9" s="308"/>
    </row>
    <row r="10" spans="1:13" ht="15">
      <c r="A10" s="239" t="s">
        <v>123</v>
      </c>
      <c r="B10" s="409"/>
      <c r="C10" s="409" t="s">
        <v>48</v>
      </c>
      <c r="D10" s="409"/>
      <c r="E10" s="409"/>
      <c r="F10" s="409"/>
      <c r="G10" s="409"/>
      <c r="H10" s="440">
        <v>100</v>
      </c>
      <c r="I10" s="409"/>
      <c r="J10" s="214">
        <f t="shared" si="0"/>
        <v>100</v>
      </c>
      <c r="K10" s="308" t="s">
        <v>48</v>
      </c>
    </row>
    <row r="11" spans="1:13" ht="15">
      <c r="A11" s="239" t="s">
        <v>163</v>
      </c>
      <c r="B11" s="409"/>
      <c r="C11" s="409"/>
      <c r="D11" s="409"/>
      <c r="E11" s="409"/>
      <c r="F11" s="409"/>
      <c r="G11" s="409"/>
      <c r="H11" s="440">
        <v>0</v>
      </c>
      <c r="I11" s="409"/>
      <c r="J11" s="214">
        <f t="shared" si="0"/>
        <v>0</v>
      </c>
      <c r="K11" s="308"/>
    </row>
    <row r="12" spans="1:13" ht="15">
      <c r="A12" s="239" t="s">
        <v>124</v>
      </c>
      <c r="B12" s="409"/>
      <c r="C12" s="409"/>
      <c r="D12" s="409"/>
      <c r="E12" s="409"/>
      <c r="F12" s="409"/>
      <c r="G12" s="409"/>
      <c r="H12" s="440">
        <v>0</v>
      </c>
      <c r="I12" s="409"/>
      <c r="J12" s="214">
        <f t="shared" si="0"/>
        <v>0</v>
      </c>
      <c r="K12" s="308"/>
    </row>
    <row r="13" spans="1:13" s="146" customFormat="1" ht="15">
      <c r="A13" s="239" t="s">
        <v>164</v>
      </c>
      <c r="B13" s="409"/>
      <c r="C13" s="409" t="s">
        <v>48</v>
      </c>
      <c r="D13" s="409"/>
      <c r="E13" s="409"/>
      <c r="F13" s="409"/>
      <c r="G13" s="440">
        <v>-10</v>
      </c>
      <c r="H13" s="440">
        <v>0</v>
      </c>
      <c r="I13" s="409"/>
      <c r="J13" s="214">
        <f t="shared" si="0"/>
        <v>-10</v>
      </c>
      <c r="K13" s="308" t="s">
        <v>303</v>
      </c>
    </row>
    <row r="14" spans="1:13" ht="15">
      <c r="A14" s="239" t="s">
        <v>165</v>
      </c>
      <c r="B14" s="409"/>
      <c r="C14" s="410"/>
      <c r="D14" s="409" t="s">
        <v>48</v>
      </c>
      <c r="E14" s="409"/>
      <c r="F14" s="409"/>
      <c r="G14" s="409"/>
      <c r="H14" s="440">
        <v>100</v>
      </c>
      <c r="I14" s="409"/>
      <c r="J14" s="214">
        <f t="shared" si="0"/>
        <v>100</v>
      </c>
      <c r="K14" s="309"/>
    </row>
    <row r="15" spans="1:13" ht="15">
      <c r="A15" s="239" t="s">
        <v>166</v>
      </c>
      <c r="B15" s="409"/>
      <c r="C15" s="409"/>
      <c r="D15" s="409" t="s">
        <v>48</v>
      </c>
      <c r="E15" s="409"/>
      <c r="F15" s="409"/>
      <c r="G15" s="440">
        <v>-10</v>
      </c>
      <c r="H15" s="440">
        <v>0</v>
      </c>
      <c r="I15" s="409"/>
      <c r="J15" s="214">
        <f t="shared" si="0"/>
        <v>-10</v>
      </c>
      <c r="K15" s="309" t="s">
        <v>302</v>
      </c>
    </row>
    <row r="16" spans="1:13" ht="15">
      <c r="A16" s="239" t="s">
        <v>167</v>
      </c>
      <c r="B16" s="409"/>
      <c r="C16" s="409"/>
      <c r="D16" s="409"/>
      <c r="E16" s="409"/>
      <c r="F16" s="409"/>
      <c r="G16" s="409"/>
      <c r="H16" s="440">
        <v>0</v>
      </c>
      <c r="I16" s="440">
        <v>-10</v>
      </c>
      <c r="J16" s="214">
        <f t="shared" si="0"/>
        <v>-10</v>
      </c>
      <c r="K16" s="309" t="s">
        <v>304</v>
      </c>
    </row>
    <row r="17" spans="1:11" ht="15">
      <c r="A17" s="22"/>
      <c r="B17" s="22"/>
      <c r="C17" s="407"/>
      <c r="D17" s="50"/>
      <c r="E17" s="50"/>
      <c r="F17" s="40"/>
      <c r="G17" s="53"/>
      <c r="H17" s="337"/>
      <c r="I17" s="29"/>
      <c r="J17" s="309"/>
      <c r="K17" s="6"/>
    </row>
    <row r="18" spans="1:11" ht="15">
      <c r="A18" s="22"/>
      <c r="B18" s="22"/>
      <c r="C18" s="407"/>
      <c r="D18" s="50"/>
      <c r="E18" s="50"/>
      <c r="F18" s="40"/>
      <c r="G18" s="53"/>
      <c r="H18" s="337"/>
      <c r="I18" s="29"/>
      <c r="J18" s="309"/>
      <c r="K18" s="6"/>
    </row>
    <row r="19" spans="1:11" ht="15">
      <c r="A19" s="22"/>
      <c r="B19" s="22"/>
      <c r="C19" s="407"/>
      <c r="D19" s="50"/>
      <c r="E19" s="50"/>
      <c r="F19" s="40"/>
      <c r="G19" s="53"/>
      <c r="H19" s="337"/>
      <c r="I19" s="29"/>
      <c r="J19" s="309"/>
      <c r="K19" s="6"/>
    </row>
    <row r="20" spans="1:11" ht="15">
      <c r="A20" s="22"/>
      <c r="B20" s="22"/>
      <c r="C20" s="407"/>
      <c r="D20" s="50"/>
      <c r="E20" s="50"/>
      <c r="F20" s="40"/>
      <c r="G20" s="53"/>
      <c r="H20" s="337"/>
      <c r="I20" s="29"/>
      <c r="J20" s="309"/>
      <c r="K20" s="6"/>
    </row>
    <row r="21" spans="1:11" ht="15">
      <c r="A21" s="22"/>
      <c r="B21" s="22"/>
      <c r="C21" s="407"/>
      <c r="D21" s="50"/>
      <c r="E21" s="50"/>
      <c r="F21" s="40"/>
      <c r="G21" s="53"/>
      <c r="H21" s="337"/>
      <c r="I21" s="29"/>
      <c r="J21" s="309"/>
      <c r="K21" s="6"/>
    </row>
    <row r="22" spans="1:11" ht="15">
      <c r="A22" s="22"/>
      <c r="B22" s="22"/>
      <c r="C22" s="407"/>
      <c r="D22" s="50"/>
      <c r="E22" s="50"/>
      <c r="F22" s="40"/>
      <c r="G22" s="53"/>
      <c r="H22" s="337"/>
      <c r="I22" s="29"/>
      <c r="J22" s="309"/>
      <c r="K22" s="6"/>
    </row>
    <row r="23" spans="1:11" ht="15">
      <c r="A23" s="22"/>
      <c r="B23" s="22"/>
      <c r="C23" s="407"/>
      <c r="D23" s="50"/>
      <c r="E23" s="50"/>
      <c r="F23" s="40"/>
      <c r="G23" s="53"/>
      <c r="H23" s="337"/>
      <c r="I23" s="29"/>
      <c r="J23" s="309"/>
      <c r="K23" s="6"/>
    </row>
    <row r="24" spans="1:11">
      <c r="A24" s="22"/>
      <c r="B24" s="22"/>
      <c r="C24" s="407"/>
      <c r="D24" s="50"/>
      <c r="E24" s="50"/>
      <c r="F24" s="40"/>
      <c r="G24" s="53"/>
      <c r="H24" s="337"/>
      <c r="I24" s="24"/>
      <c r="J24" s="309"/>
      <c r="K24" s="6"/>
    </row>
    <row r="25" spans="1:11" ht="15">
      <c r="A25" s="22"/>
      <c r="B25" s="22"/>
      <c r="C25" s="407"/>
      <c r="D25" s="50"/>
      <c r="E25" s="50"/>
      <c r="F25" s="40"/>
      <c r="G25" s="53"/>
      <c r="H25" s="337"/>
      <c r="I25" s="29"/>
      <c r="J25" s="309"/>
      <c r="K25" s="6"/>
    </row>
    <row r="26" spans="1:11">
      <c r="A26" s="22"/>
      <c r="B26" s="22"/>
      <c r="C26" s="408"/>
      <c r="D26" s="51"/>
      <c r="E26" s="51"/>
      <c r="F26" s="40"/>
      <c r="G26" s="53"/>
      <c r="H26" s="337"/>
      <c r="I26" s="1"/>
    </row>
    <row r="27" spans="1:11">
      <c r="A27" s="1"/>
      <c r="B27" s="1"/>
      <c r="C27" s="62"/>
      <c r="D27" s="1"/>
      <c r="E27" s="1"/>
      <c r="F27" s="24"/>
      <c r="G27" s="1"/>
      <c r="H27" s="341"/>
      <c r="I27" s="1"/>
    </row>
    <row r="28" spans="1:11">
      <c r="A28" s="1"/>
      <c r="B28" s="1"/>
      <c r="C28" s="62"/>
      <c r="D28" s="1"/>
      <c r="E28" s="1"/>
      <c r="F28" s="1"/>
      <c r="G28" s="1"/>
      <c r="H28" s="341"/>
      <c r="I28" s="1"/>
    </row>
    <row r="29" spans="1:11">
      <c r="A29" s="1"/>
      <c r="B29" s="1"/>
      <c r="C29" s="62"/>
      <c r="D29" s="1"/>
      <c r="E29" s="1"/>
      <c r="F29" s="1"/>
      <c r="G29" s="1"/>
      <c r="H29" s="341"/>
      <c r="I29" s="1"/>
    </row>
  </sheetData>
  <phoneticPr fontId="18" type="noConversion"/>
  <printOptions gridLines="1"/>
  <pageMargins left="0.75" right="0.75" top="1" bottom="1" header="0.5" footer="0.5"/>
  <pageSetup scale="76" orientation="landscape" horizontalDpi="4294967294" verticalDpi="20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27"/>
  <sheetViews>
    <sheetView workbookViewId="0"/>
  </sheetViews>
  <sheetFormatPr defaultRowHeight="12.75"/>
  <cols>
    <col min="1" max="1" width="33.42578125" customWidth="1"/>
    <col min="2" max="5" width="10.28515625" customWidth="1"/>
    <col min="7" max="7" width="10.42578125" customWidth="1"/>
  </cols>
  <sheetData>
    <row r="1" spans="1:21" ht="18.75">
      <c r="A1" s="46" t="s">
        <v>211</v>
      </c>
      <c r="B1" s="31"/>
      <c r="C1" s="31"/>
      <c r="D1" s="31"/>
      <c r="E1" s="31" t="s">
        <v>63</v>
      </c>
      <c r="F1" s="32">
        <f>MAX(E4:E16)</f>
        <v>716</v>
      </c>
      <c r="G1" s="31" t="s">
        <v>64</v>
      </c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>
      <c r="A2" s="183" t="s">
        <v>288</v>
      </c>
      <c r="B2" s="31"/>
      <c r="C2" s="31"/>
      <c r="D2" s="31"/>
      <c r="E2" s="31" t="s">
        <v>62</v>
      </c>
      <c r="F2" s="32">
        <f>MIN(E4:E115)</f>
        <v>552</v>
      </c>
      <c r="G2" s="31" t="s">
        <v>64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3" spans="1:21">
      <c r="B3" s="134" t="s">
        <v>58</v>
      </c>
      <c r="C3" s="134" t="s">
        <v>59</v>
      </c>
      <c r="D3" s="134" t="s">
        <v>60</v>
      </c>
      <c r="E3" s="44" t="s">
        <v>25</v>
      </c>
      <c r="G3" s="39"/>
      <c r="H3" s="2" t="s">
        <v>28</v>
      </c>
    </row>
    <row r="4" spans="1:21" ht="15">
      <c r="A4" s="239" t="s">
        <v>120</v>
      </c>
      <c r="B4" s="380">
        <v>166</v>
      </c>
      <c r="C4" s="380">
        <v>177</v>
      </c>
      <c r="D4" s="380">
        <v>363</v>
      </c>
      <c r="E4" s="290">
        <v>706</v>
      </c>
      <c r="F4" s="149"/>
      <c r="G4" s="17"/>
      <c r="H4" s="17">
        <f>RANK($E4,$E$4:$E$16)</f>
        <v>3</v>
      </c>
    </row>
    <row r="5" spans="1:21" ht="15">
      <c r="A5" s="239" t="s">
        <v>121</v>
      </c>
      <c r="B5" s="380">
        <v>150</v>
      </c>
      <c r="C5" s="380">
        <v>140</v>
      </c>
      <c r="D5" s="380">
        <v>369</v>
      </c>
      <c r="E5" s="290">
        <v>661</v>
      </c>
      <c r="F5" s="149"/>
      <c r="G5" s="17"/>
      <c r="H5" s="17">
        <f t="shared" ref="H5:H16" si="0">RANK($E5,$E$4:$E$16)</f>
        <v>4</v>
      </c>
    </row>
    <row r="6" spans="1:21" ht="15">
      <c r="A6" s="239" t="s">
        <v>122</v>
      </c>
      <c r="B6" s="380">
        <v>150</v>
      </c>
      <c r="C6" s="380">
        <v>157</v>
      </c>
      <c r="D6" s="380">
        <v>271</v>
      </c>
      <c r="E6" s="290">
        <v>579</v>
      </c>
      <c r="F6" s="149"/>
      <c r="G6" s="17"/>
      <c r="H6" s="17">
        <f t="shared" si="0"/>
        <v>9</v>
      </c>
    </row>
    <row r="7" spans="1:21" s="291" customFormat="1" ht="15">
      <c r="A7" s="287" t="s">
        <v>160</v>
      </c>
      <c r="B7" s="380">
        <v>179</v>
      </c>
      <c r="C7" s="380">
        <v>162</v>
      </c>
      <c r="D7" s="380">
        <v>374</v>
      </c>
      <c r="E7" s="343">
        <v>715</v>
      </c>
      <c r="F7" s="243"/>
      <c r="G7" s="285"/>
      <c r="H7" s="17">
        <f t="shared" si="0"/>
        <v>2</v>
      </c>
    </row>
    <row r="8" spans="1:21" s="291" customFormat="1" ht="15">
      <c r="A8" s="287" t="s">
        <v>161</v>
      </c>
      <c r="B8" s="380">
        <v>170</v>
      </c>
      <c r="C8" s="380">
        <v>181</v>
      </c>
      <c r="D8" s="380">
        <v>308</v>
      </c>
      <c r="E8" s="343">
        <v>659</v>
      </c>
      <c r="F8" s="243"/>
      <c r="G8" s="285"/>
      <c r="H8" s="17">
        <f t="shared" si="0"/>
        <v>5</v>
      </c>
    </row>
    <row r="9" spans="1:21" s="31" customFormat="1" ht="15">
      <c r="A9" s="239" t="s">
        <v>162</v>
      </c>
      <c r="B9" s="380" t="s">
        <v>48</v>
      </c>
      <c r="C9" s="380" t="s">
        <v>48</v>
      </c>
      <c r="D9" s="380" t="s">
        <v>48</v>
      </c>
      <c r="E9" s="290" t="s">
        <v>48</v>
      </c>
      <c r="F9" s="210" t="s">
        <v>48</v>
      </c>
      <c r="G9" s="17"/>
      <c r="H9" s="17" t="s">
        <v>48</v>
      </c>
    </row>
    <row r="10" spans="1:21" ht="15">
      <c r="A10" s="239" t="s">
        <v>123</v>
      </c>
      <c r="B10" s="380">
        <v>147</v>
      </c>
      <c r="C10" s="380">
        <v>143</v>
      </c>
      <c r="D10" s="380">
        <v>265</v>
      </c>
      <c r="E10" s="290">
        <v>555</v>
      </c>
      <c r="F10" s="149"/>
      <c r="G10" s="17"/>
      <c r="H10" s="17">
        <f t="shared" si="0"/>
        <v>10</v>
      </c>
    </row>
    <row r="11" spans="1:21" ht="15">
      <c r="A11" s="239" t="s">
        <v>163</v>
      </c>
      <c r="B11" s="380">
        <v>174</v>
      </c>
      <c r="C11" s="380">
        <v>158</v>
      </c>
      <c r="D11" s="380">
        <v>302</v>
      </c>
      <c r="E11" s="343">
        <v>634</v>
      </c>
      <c r="F11" s="149"/>
      <c r="G11" s="17"/>
      <c r="H11" s="17">
        <f t="shared" si="0"/>
        <v>7</v>
      </c>
    </row>
    <row r="12" spans="1:21" ht="15">
      <c r="A12" s="239" t="s">
        <v>124</v>
      </c>
      <c r="B12" s="380"/>
      <c r="C12" s="380"/>
      <c r="D12" s="380"/>
      <c r="E12" s="246"/>
      <c r="F12" s="143"/>
      <c r="G12" s="17"/>
      <c r="H12" s="17" t="s">
        <v>48</v>
      </c>
    </row>
    <row r="13" spans="1:21" ht="15">
      <c r="A13" s="239" t="s">
        <v>164</v>
      </c>
      <c r="B13" s="382">
        <v>167</v>
      </c>
      <c r="C13" s="382">
        <v>154</v>
      </c>
      <c r="D13" s="382">
        <v>326</v>
      </c>
      <c r="E13" s="344">
        <v>647</v>
      </c>
      <c r="F13" s="149" t="s">
        <v>48</v>
      </c>
      <c r="G13" s="17"/>
      <c r="H13" s="17">
        <f t="shared" si="0"/>
        <v>6</v>
      </c>
    </row>
    <row r="14" spans="1:21" ht="15">
      <c r="A14" s="239" t="s">
        <v>165</v>
      </c>
      <c r="B14" s="382">
        <v>145</v>
      </c>
      <c r="C14" s="382">
        <v>130</v>
      </c>
      <c r="D14" s="382">
        <v>277</v>
      </c>
      <c r="E14" s="344">
        <v>552</v>
      </c>
      <c r="F14" s="149"/>
      <c r="G14" s="17"/>
      <c r="H14" s="17">
        <f t="shared" si="0"/>
        <v>11</v>
      </c>
    </row>
    <row r="15" spans="1:21" ht="15">
      <c r="A15" s="239" t="s">
        <v>166</v>
      </c>
      <c r="B15" s="380">
        <v>155</v>
      </c>
      <c r="C15" s="380">
        <v>161</v>
      </c>
      <c r="D15" s="380">
        <v>285</v>
      </c>
      <c r="E15" s="290">
        <v>601</v>
      </c>
      <c r="F15" s="149"/>
      <c r="G15" s="17"/>
      <c r="H15" s="17">
        <f t="shared" si="0"/>
        <v>8</v>
      </c>
    </row>
    <row r="16" spans="1:21" ht="30">
      <c r="A16" s="239" t="s">
        <v>167</v>
      </c>
      <c r="B16" s="380">
        <v>189</v>
      </c>
      <c r="C16" s="380">
        <v>200</v>
      </c>
      <c r="D16" s="380">
        <v>327</v>
      </c>
      <c r="E16" s="290">
        <v>716</v>
      </c>
      <c r="F16" s="149"/>
      <c r="G16" s="17"/>
      <c r="H16" s="17">
        <f t="shared" si="0"/>
        <v>1</v>
      </c>
    </row>
    <row r="17" spans="5:5">
      <c r="E17" s="63"/>
    </row>
    <row r="18" spans="5:5">
      <c r="E18" s="63"/>
    </row>
    <row r="19" spans="5:5">
      <c r="E19" s="63"/>
    </row>
    <row r="20" spans="5:5">
      <c r="E20" s="63"/>
    </row>
    <row r="21" spans="5:5">
      <c r="E21" s="63"/>
    </row>
    <row r="22" spans="5:5">
      <c r="E22" s="63"/>
    </row>
    <row r="23" spans="5:5">
      <c r="E23" s="63"/>
    </row>
    <row r="24" spans="5:5">
      <c r="E24" s="63"/>
    </row>
    <row r="25" spans="5:5">
      <c r="E25" s="63"/>
    </row>
    <row r="26" spans="5:5">
      <c r="E26" s="63"/>
    </row>
    <row r="27" spans="5:5">
      <c r="E27" s="63"/>
    </row>
  </sheetData>
  <phoneticPr fontId="18" type="noConversion"/>
  <printOptions gridLines="1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3"/>
  <sheetViews>
    <sheetView workbookViewId="0">
      <pane ySplit="4" topLeftCell="A5" activePane="bottomLeft" state="frozen"/>
      <selection pane="bottomLeft"/>
    </sheetView>
  </sheetViews>
  <sheetFormatPr defaultRowHeight="12.75"/>
  <cols>
    <col min="1" max="1" width="17.5703125" style="68" customWidth="1"/>
    <col min="2" max="2" width="7.5703125" style="68" customWidth="1"/>
    <col min="3" max="3" width="10.7109375" style="175" customWidth="1"/>
    <col min="4" max="4" width="12.42578125" style="175" customWidth="1"/>
    <col min="5" max="5" width="10.28515625" style="175" customWidth="1"/>
    <col min="6" max="6" width="8" style="335" customWidth="1"/>
    <col min="7" max="7" width="11.42578125" style="178" customWidth="1"/>
    <col min="8" max="8" width="11" style="289" customWidth="1"/>
    <col min="9" max="9" width="10.7109375" style="175" customWidth="1"/>
    <col min="10" max="10" width="9.140625" style="175" customWidth="1"/>
    <col min="11" max="11" width="10.7109375" style="213" customWidth="1"/>
    <col min="12" max="12" width="10.85546875" style="175" customWidth="1"/>
    <col min="13" max="13" width="11.85546875" style="202" customWidth="1"/>
    <col min="14" max="14" width="10.7109375" style="175" customWidth="1"/>
    <col min="15" max="15" width="13.5703125" style="175" customWidth="1"/>
    <col min="16" max="16" width="7.5703125" style="201" customWidth="1"/>
    <col min="17" max="17" width="3" style="201" customWidth="1"/>
    <col min="18" max="18" width="2.7109375" style="68" customWidth="1"/>
    <col min="19" max="16384" width="9.140625" style="68"/>
  </cols>
  <sheetData>
    <row r="1" spans="1:19" ht="18.75">
      <c r="A1" s="250" t="s">
        <v>200</v>
      </c>
    </row>
    <row r="2" spans="1:19" s="175" customFormat="1" ht="25.5" customHeight="1">
      <c r="A2" s="175" t="s">
        <v>48</v>
      </c>
      <c r="B2" s="176" t="s">
        <v>83</v>
      </c>
      <c r="C2" s="193">
        <v>1</v>
      </c>
      <c r="D2" s="193">
        <v>2</v>
      </c>
      <c r="E2" s="334">
        <v>3</v>
      </c>
      <c r="F2" s="361">
        <v>4</v>
      </c>
      <c r="G2" s="361">
        <v>5</v>
      </c>
      <c r="H2" s="417">
        <v>6</v>
      </c>
      <c r="I2" s="193">
        <v>7</v>
      </c>
      <c r="J2" s="193">
        <v>9</v>
      </c>
      <c r="K2" s="361">
        <v>10</v>
      </c>
      <c r="L2" s="193">
        <v>11</v>
      </c>
      <c r="M2" s="328">
        <v>12</v>
      </c>
      <c r="N2" s="193">
        <v>13</v>
      </c>
      <c r="O2" s="193">
        <v>14</v>
      </c>
      <c r="P2" s="201"/>
      <c r="Q2" s="201"/>
    </row>
    <row r="3" spans="1:19" s="175" customFormat="1" ht="16.5" customHeight="1">
      <c r="B3" s="175" t="s">
        <v>84</v>
      </c>
      <c r="C3" s="177" t="s">
        <v>85</v>
      </c>
      <c r="D3" s="177" t="s">
        <v>85</v>
      </c>
      <c r="E3" s="177" t="s">
        <v>85</v>
      </c>
      <c r="F3" s="336" t="s">
        <v>85</v>
      </c>
      <c r="G3" s="336" t="s">
        <v>85</v>
      </c>
      <c r="H3" s="418" t="s">
        <v>85</v>
      </c>
      <c r="I3" s="177" t="s">
        <v>85</v>
      </c>
      <c r="J3" s="177" t="s">
        <v>85</v>
      </c>
      <c r="K3" s="424" t="s">
        <v>85</v>
      </c>
      <c r="L3" s="177" t="s">
        <v>85</v>
      </c>
      <c r="M3" s="329" t="s">
        <v>85</v>
      </c>
      <c r="N3" s="177" t="s">
        <v>85</v>
      </c>
      <c r="O3" s="177" t="s">
        <v>85</v>
      </c>
      <c r="P3" s="201"/>
      <c r="Q3" s="201"/>
    </row>
    <row r="4" spans="1:19" ht="60">
      <c r="A4" s="356" t="s">
        <v>86</v>
      </c>
      <c r="B4" s="357"/>
      <c r="C4" s="362" t="s">
        <v>120</v>
      </c>
      <c r="D4" s="362" t="s">
        <v>121</v>
      </c>
      <c r="E4" s="362" t="s">
        <v>122</v>
      </c>
      <c r="F4" s="363" t="s">
        <v>160</v>
      </c>
      <c r="G4" s="363" t="s">
        <v>161</v>
      </c>
      <c r="H4" s="419" t="s">
        <v>162</v>
      </c>
      <c r="I4" s="362" t="s">
        <v>123</v>
      </c>
      <c r="J4" s="362" t="s">
        <v>163</v>
      </c>
      <c r="K4" s="419" t="s">
        <v>124</v>
      </c>
      <c r="L4" s="362" t="s">
        <v>164</v>
      </c>
      <c r="M4" s="362" t="s">
        <v>165</v>
      </c>
      <c r="N4" s="362" t="s">
        <v>166</v>
      </c>
      <c r="O4" s="362" t="s">
        <v>167</v>
      </c>
      <c r="P4" s="305"/>
      <c r="Q4" s="305"/>
      <c r="R4" s="183"/>
      <c r="S4" s="183"/>
    </row>
    <row r="5" spans="1:19" ht="26.25">
      <c r="A5" s="345" t="s">
        <v>248</v>
      </c>
      <c r="B5" s="357"/>
      <c r="C5" s="364"/>
      <c r="D5" s="364"/>
      <c r="E5" s="364"/>
      <c r="F5" s="365">
        <v>47</v>
      </c>
      <c r="G5" s="365"/>
      <c r="H5" s="420"/>
      <c r="I5" s="364"/>
      <c r="J5" s="364">
        <v>53</v>
      </c>
      <c r="K5" s="420"/>
      <c r="L5" s="364"/>
      <c r="M5" s="364"/>
      <c r="N5" s="362"/>
      <c r="O5" s="362"/>
      <c r="P5" s="304">
        <f t="shared" ref="P5:P23" si="0">COUNTA(C5:O5)</f>
        <v>2</v>
      </c>
      <c r="Q5" s="305"/>
      <c r="R5" s="183"/>
      <c r="S5" s="183"/>
    </row>
    <row r="6" spans="1:19" ht="26.25">
      <c r="A6" s="345" t="s">
        <v>273</v>
      </c>
      <c r="B6" s="357"/>
      <c r="C6" s="364">
        <v>100</v>
      </c>
      <c r="D6" s="364">
        <v>97</v>
      </c>
      <c r="E6" s="364">
        <v>99</v>
      </c>
      <c r="F6" s="365">
        <v>99</v>
      </c>
      <c r="G6" s="365"/>
      <c r="H6" s="420"/>
      <c r="I6" s="364"/>
      <c r="J6" s="364"/>
      <c r="K6" s="420"/>
      <c r="L6" s="364"/>
      <c r="M6" s="364"/>
      <c r="N6" s="362"/>
      <c r="O6" s="362"/>
      <c r="P6" s="304">
        <f t="shared" si="0"/>
        <v>4</v>
      </c>
      <c r="Q6" s="305"/>
      <c r="R6" s="183"/>
      <c r="S6" s="183"/>
    </row>
    <row r="7" spans="1:19" ht="15">
      <c r="A7" s="331" t="s">
        <v>168</v>
      </c>
      <c r="B7" s="358"/>
      <c r="C7" s="304">
        <v>88</v>
      </c>
      <c r="D7" s="304">
        <v>85</v>
      </c>
      <c r="E7" s="304">
        <v>83</v>
      </c>
      <c r="F7" s="303"/>
      <c r="G7" s="303"/>
      <c r="I7" s="304"/>
      <c r="J7" s="304"/>
      <c r="K7" s="289"/>
      <c r="L7" s="304"/>
      <c r="M7" s="304"/>
      <c r="N7" s="304"/>
      <c r="O7" s="304">
        <v>51</v>
      </c>
      <c r="P7" s="304">
        <f t="shared" si="0"/>
        <v>4</v>
      </c>
      <c r="Q7" s="304"/>
      <c r="R7" s="183"/>
      <c r="S7" s="183"/>
    </row>
    <row r="8" spans="1:19" ht="15">
      <c r="A8" s="332" t="s">
        <v>169</v>
      </c>
      <c r="B8" s="358"/>
      <c r="C8" s="304"/>
      <c r="D8" s="304"/>
      <c r="E8" s="304"/>
      <c r="F8" s="303"/>
      <c r="G8" s="303"/>
      <c r="I8" s="304"/>
      <c r="J8" s="304">
        <v>52</v>
      </c>
      <c r="K8" s="289"/>
      <c r="L8" s="304">
        <v>54</v>
      </c>
      <c r="M8" s="304">
        <v>47</v>
      </c>
      <c r="N8" s="304"/>
      <c r="O8" s="304"/>
      <c r="P8" s="304">
        <f t="shared" si="0"/>
        <v>3</v>
      </c>
      <c r="Q8" s="305"/>
      <c r="R8" s="183"/>
      <c r="S8" s="183"/>
    </row>
    <row r="9" spans="1:19" s="183" customFormat="1" ht="15">
      <c r="A9" s="331" t="s">
        <v>170</v>
      </c>
      <c r="B9" s="303"/>
      <c r="C9" s="304"/>
      <c r="D9" s="304"/>
      <c r="E9" s="304">
        <v>83</v>
      </c>
      <c r="F9" s="303">
        <v>56</v>
      </c>
      <c r="G9" s="303">
        <v>72</v>
      </c>
      <c r="H9" s="289"/>
      <c r="I9" s="304"/>
      <c r="J9" s="304"/>
      <c r="K9" s="289"/>
      <c r="L9" s="304"/>
      <c r="M9" s="304"/>
      <c r="N9" s="304"/>
      <c r="O9" s="304"/>
      <c r="P9" s="304">
        <f t="shared" si="0"/>
        <v>3</v>
      </c>
      <c r="Q9" s="305"/>
    </row>
    <row r="10" spans="1:19" ht="15">
      <c r="A10" s="331" t="s">
        <v>171</v>
      </c>
      <c r="B10" s="358"/>
      <c r="C10" s="304">
        <v>94</v>
      </c>
      <c r="D10" s="304">
        <v>85</v>
      </c>
      <c r="E10" s="304">
        <v>89</v>
      </c>
      <c r="F10" s="303">
        <v>44</v>
      </c>
      <c r="G10" s="303">
        <v>61</v>
      </c>
      <c r="I10" s="304">
        <v>70</v>
      </c>
      <c r="J10" s="304">
        <v>61</v>
      </c>
      <c r="K10" s="289"/>
      <c r="L10" s="304">
        <v>66</v>
      </c>
      <c r="M10" s="304">
        <v>49</v>
      </c>
      <c r="N10" s="304">
        <v>31</v>
      </c>
      <c r="O10" s="304">
        <v>32</v>
      </c>
      <c r="P10" s="304">
        <f t="shared" si="0"/>
        <v>11</v>
      </c>
      <c r="Q10" s="305"/>
      <c r="R10" s="183"/>
      <c r="S10" s="183"/>
    </row>
    <row r="11" spans="1:19" ht="15">
      <c r="A11" s="330" t="s">
        <v>127</v>
      </c>
      <c r="B11" s="358"/>
      <c r="C11" s="304"/>
      <c r="D11" s="304"/>
      <c r="E11" s="304"/>
      <c r="F11" s="303"/>
      <c r="G11" s="303"/>
      <c r="I11" s="304">
        <v>82</v>
      </c>
      <c r="J11" s="304">
        <v>71</v>
      </c>
      <c r="K11" s="289"/>
      <c r="L11" s="304"/>
      <c r="M11" s="304"/>
      <c r="N11" s="304"/>
      <c r="O11" s="304"/>
      <c r="P11" s="304">
        <f t="shared" si="0"/>
        <v>2</v>
      </c>
      <c r="Q11" s="305"/>
      <c r="R11" s="183"/>
      <c r="S11" s="183"/>
    </row>
    <row r="12" spans="1:19" ht="15">
      <c r="A12" s="330" t="s">
        <v>243</v>
      </c>
      <c r="B12" s="358"/>
      <c r="C12" s="304"/>
      <c r="D12" s="304"/>
      <c r="E12" s="304"/>
      <c r="F12" s="303"/>
      <c r="G12" s="303"/>
      <c r="I12" s="304">
        <v>76</v>
      </c>
      <c r="J12" s="304">
        <v>63</v>
      </c>
      <c r="K12" s="289"/>
      <c r="L12" s="304">
        <v>76</v>
      </c>
      <c r="M12" s="304"/>
      <c r="N12" s="304"/>
      <c r="O12" s="304"/>
      <c r="P12" s="304">
        <f t="shared" si="0"/>
        <v>3</v>
      </c>
      <c r="Q12" s="305"/>
      <c r="R12" s="183"/>
      <c r="S12" s="183"/>
    </row>
    <row r="13" spans="1:19" ht="15">
      <c r="A13" s="330" t="s">
        <v>219</v>
      </c>
      <c r="B13" s="358"/>
      <c r="C13" s="304"/>
      <c r="D13" s="304"/>
      <c r="E13" s="304"/>
      <c r="F13" s="303"/>
      <c r="G13" s="303"/>
      <c r="I13" s="304"/>
      <c r="J13" s="304"/>
      <c r="K13" s="289"/>
      <c r="L13" s="304">
        <v>45</v>
      </c>
      <c r="M13" s="304">
        <v>67</v>
      </c>
      <c r="N13" s="304">
        <v>26</v>
      </c>
      <c r="O13" s="304">
        <v>26</v>
      </c>
      <c r="P13" s="304">
        <f t="shared" si="0"/>
        <v>4</v>
      </c>
      <c r="Q13" s="305"/>
      <c r="R13" s="183"/>
      <c r="S13" s="183"/>
    </row>
    <row r="14" spans="1:19" ht="15">
      <c r="A14" s="330" t="s">
        <v>242</v>
      </c>
      <c r="B14" s="358"/>
      <c r="C14" s="304">
        <v>89</v>
      </c>
      <c r="D14" s="304"/>
      <c r="E14" s="304"/>
      <c r="F14" s="303"/>
      <c r="G14" s="303"/>
      <c r="I14" s="304"/>
      <c r="J14" s="304"/>
      <c r="K14" s="289"/>
      <c r="L14" s="304"/>
      <c r="M14" s="304">
        <v>61</v>
      </c>
      <c r="N14" s="304">
        <v>29</v>
      </c>
      <c r="O14" s="304">
        <v>78</v>
      </c>
      <c r="P14" s="304">
        <f t="shared" si="0"/>
        <v>4</v>
      </c>
      <c r="Q14" s="305"/>
      <c r="R14" s="183"/>
      <c r="S14" s="183"/>
    </row>
    <row r="15" spans="1:19" ht="15">
      <c r="A15" s="331" t="s">
        <v>172</v>
      </c>
      <c r="B15" s="358"/>
      <c r="C15" s="304"/>
      <c r="D15" s="304"/>
      <c r="E15" s="304"/>
      <c r="F15" s="303"/>
      <c r="G15" s="303">
        <v>46</v>
      </c>
      <c r="I15" s="304">
        <v>66</v>
      </c>
      <c r="J15" s="304">
        <v>49</v>
      </c>
      <c r="K15" s="289"/>
      <c r="L15" s="304"/>
      <c r="M15" s="304"/>
      <c r="N15" s="304"/>
      <c r="O15" s="304"/>
      <c r="P15" s="304">
        <f t="shared" si="0"/>
        <v>3</v>
      </c>
      <c r="Q15" s="305"/>
      <c r="R15" s="183"/>
      <c r="S15" s="183"/>
    </row>
    <row r="16" spans="1:19" ht="15">
      <c r="A16" s="331" t="s">
        <v>173</v>
      </c>
      <c r="B16" s="358"/>
      <c r="C16" s="304"/>
      <c r="D16" s="304"/>
      <c r="E16" s="304"/>
      <c r="F16" s="303">
        <v>50</v>
      </c>
      <c r="G16" s="303">
        <v>72</v>
      </c>
      <c r="I16" s="304">
        <v>78</v>
      </c>
      <c r="J16" s="304"/>
      <c r="K16" s="289"/>
      <c r="L16" s="304"/>
      <c r="M16" s="304"/>
      <c r="N16" s="304"/>
      <c r="O16" s="304"/>
      <c r="P16" s="304">
        <f t="shared" si="0"/>
        <v>3</v>
      </c>
      <c r="Q16" s="305"/>
      <c r="R16" s="183"/>
      <c r="S16" s="183"/>
    </row>
    <row r="17" spans="1:19" s="211" customFormat="1" ht="15">
      <c r="A17" s="331" t="s">
        <v>174</v>
      </c>
      <c r="B17" s="358"/>
      <c r="C17" s="304">
        <v>93</v>
      </c>
      <c r="D17" s="304">
        <v>81</v>
      </c>
      <c r="E17" s="304"/>
      <c r="F17" s="303"/>
      <c r="G17" s="303"/>
      <c r="H17" s="289"/>
      <c r="I17" s="304"/>
      <c r="J17" s="304"/>
      <c r="K17" s="289"/>
      <c r="L17" s="304"/>
      <c r="M17" s="304"/>
      <c r="N17" s="304">
        <v>41</v>
      </c>
      <c r="O17" s="304">
        <v>98</v>
      </c>
      <c r="P17" s="304">
        <f t="shared" si="0"/>
        <v>4</v>
      </c>
      <c r="Q17" s="305"/>
      <c r="R17" s="183"/>
      <c r="S17" s="183"/>
    </row>
    <row r="18" spans="1:19" s="211" customFormat="1" ht="15">
      <c r="A18" s="330" t="s">
        <v>274</v>
      </c>
      <c r="B18" s="358"/>
      <c r="C18" s="304">
        <v>94</v>
      </c>
      <c r="D18" s="304">
        <v>84</v>
      </c>
      <c r="E18" s="304">
        <v>69</v>
      </c>
      <c r="F18" s="303">
        <v>55</v>
      </c>
      <c r="G18" s="303"/>
      <c r="H18" s="289"/>
      <c r="I18" s="304"/>
      <c r="J18" s="304"/>
      <c r="K18" s="289"/>
      <c r="L18" s="304"/>
      <c r="M18" s="304"/>
      <c r="N18" s="304"/>
      <c r="O18" s="304"/>
      <c r="P18" s="304">
        <f t="shared" si="0"/>
        <v>4</v>
      </c>
      <c r="Q18" s="305"/>
      <c r="R18" s="183"/>
      <c r="S18" s="183"/>
    </row>
    <row r="19" spans="1:19" ht="15">
      <c r="A19" s="331" t="s">
        <v>175</v>
      </c>
      <c r="B19" s="358"/>
      <c r="C19" s="304">
        <v>77</v>
      </c>
      <c r="D19" s="304">
        <v>53</v>
      </c>
      <c r="E19" s="304">
        <v>63</v>
      </c>
      <c r="F19" s="303">
        <v>34</v>
      </c>
      <c r="G19" s="303">
        <v>72</v>
      </c>
      <c r="I19" s="304">
        <v>58</v>
      </c>
      <c r="J19" s="304">
        <v>47</v>
      </c>
      <c r="K19" s="289"/>
      <c r="L19" s="304">
        <v>64</v>
      </c>
      <c r="M19" s="304">
        <v>28</v>
      </c>
      <c r="N19" s="304">
        <v>35</v>
      </c>
      <c r="O19" s="304">
        <v>56</v>
      </c>
      <c r="P19" s="304">
        <f t="shared" si="0"/>
        <v>11</v>
      </c>
      <c r="Q19" s="305"/>
      <c r="R19" s="183"/>
      <c r="S19" s="183"/>
    </row>
    <row r="20" spans="1:19" ht="15">
      <c r="A20" s="331" t="s">
        <v>176</v>
      </c>
      <c r="B20" s="358"/>
      <c r="C20" s="304">
        <v>100</v>
      </c>
      <c r="D20" s="304"/>
      <c r="E20" s="304"/>
      <c r="F20" s="303"/>
      <c r="G20" s="303"/>
      <c r="I20" s="304"/>
      <c r="J20" s="304"/>
      <c r="K20" s="289"/>
      <c r="L20" s="304"/>
      <c r="M20" s="304">
        <v>83</v>
      </c>
      <c r="N20" s="304">
        <v>33</v>
      </c>
      <c r="O20" s="304">
        <v>96</v>
      </c>
      <c r="P20" s="304">
        <f t="shared" si="0"/>
        <v>4</v>
      </c>
      <c r="Q20" s="305"/>
      <c r="R20" s="183"/>
      <c r="S20" s="183"/>
    </row>
    <row r="21" spans="1:19" ht="15">
      <c r="A21" s="330" t="s">
        <v>177</v>
      </c>
      <c r="B21" s="358"/>
      <c r="C21" s="304"/>
      <c r="D21" s="304">
        <v>74</v>
      </c>
      <c r="E21" s="304">
        <v>94</v>
      </c>
      <c r="F21" s="303">
        <v>26</v>
      </c>
      <c r="G21" s="303">
        <v>72</v>
      </c>
      <c r="I21" s="304"/>
      <c r="J21" s="304"/>
      <c r="K21" s="289"/>
      <c r="L21" s="304"/>
      <c r="M21" s="304"/>
      <c r="N21" s="304"/>
      <c r="O21" s="304"/>
      <c r="P21" s="304">
        <f t="shared" si="0"/>
        <v>4</v>
      </c>
      <c r="Q21" s="304"/>
      <c r="R21" s="183"/>
      <c r="S21" s="183"/>
    </row>
    <row r="22" spans="1:19" ht="15">
      <c r="A22" s="331" t="s">
        <v>178</v>
      </c>
      <c r="B22" s="358"/>
      <c r="C22" s="304">
        <v>98</v>
      </c>
      <c r="D22" s="304">
        <v>89</v>
      </c>
      <c r="E22" s="304">
        <v>98</v>
      </c>
      <c r="F22" s="303">
        <v>36</v>
      </c>
      <c r="G22" s="303">
        <v>97</v>
      </c>
      <c r="I22" s="304">
        <v>70</v>
      </c>
      <c r="J22" s="304">
        <v>32</v>
      </c>
      <c r="K22" s="289"/>
      <c r="L22" s="304">
        <v>49</v>
      </c>
      <c r="M22" s="304">
        <v>55</v>
      </c>
      <c r="N22" s="304">
        <v>26</v>
      </c>
      <c r="O22" s="304">
        <v>53</v>
      </c>
      <c r="P22" s="304">
        <f t="shared" si="0"/>
        <v>11</v>
      </c>
      <c r="Q22" s="304"/>
      <c r="R22" s="183"/>
      <c r="S22" s="183"/>
    </row>
    <row r="23" spans="1:19" ht="15">
      <c r="A23" s="330" t="s">
        <v>179</v>
      </c>
      <c r="B23" s="358"/>
      <c r="C23" s="304">
        <v>73</v>
      </c>
      <c r="D23" s="304">
        <v>63</v>
      </c>
      <c r="E23" s="304">
        <v>68</v>
      </c>
      <c r="F23" s="303">
        <v>42</v>
      </c>
      <c r="G23" s="303"/>
      <c r="I23" s="304"/>
      <c r="J23" s="304"/>
      <c r="K23" s="289"/>
      <c r="L23" s="304"/>
      <c r="M23" s="304"/>
      <c r="N23" s="304"/>
      <c r="O23" s="304"/>
      <c r="P23" s="304">
        <f t="shared" si="0"/>
        <v>4</v>
      </c>
      <c r="Q23" s="305"/>
      <c r="R23" s="183"/>
      <c r="S23" s="183"/>
    </row>
    <row r="24" spans="1:19" ht="15">
      <c r="A24" s="331" t="s">
        <v>180</v>
      </c>
      <c r="B24" s="358"/>
      <c r="C24" s="304"/>
      <c r="D24" s="304"/>
      <c r="E24" s="304"/>
      <c r="F24" s="303"/>
      <c r="G24" s="303">
        <v>77</v>
      </c>
      <c r="I24" s="304">
        <v>82</v>
      </c>
      <c r="J24" s="304">
        <v>72</v>
      </c>
      <c r="K24" s="289"/>
      <c r="L24" s="304"/>
      <c r="M24" s="304"/>
      <c r="N24" s="304"/>
      <c r="O24" s="304"/>
      <c r="P24" s="304">
        <f t="shared" ref="P24:P47" si="1">COUNTA(C24:O24)</f>
        <v>3</v>
      </c>
      <c r="Q24" s="305"/>
      <c r="R24" s="183"/>
      <c r="S24" s="183"/>
    </row>
    <row r="25" spans="1:19" ht="15">
      <c r="A25" s="330" t="s">
        <v>218</v>
      </c>
      <c r="B25" s="358"/>
      <c r="C25" s="358"/>
      <c r="D25" s="358"/>
      <c r="E25" s="358"/>
      <c r="F25" s="303">
        <v>21</v>
      </c>
      <c r="G25" s="303">
        <v>62</v>
      </c>
      <c r="H25" s="303"/>
      <c r="I25" s="358">
        <v>76</v>
      </c>
      <c r="J25" s="358"/>
      <c r="K25" s="303"/>
      <c r="L25" s="358"/>
      <c r="M25" s="358"/>
      <c r="N25" s="358"/>
      <c r="O25" s="358"/>
      <c r="P25" s="304">
        <f t="shared" si="1"/>
        <v>3</v>
      </c>
      <c r="Q25" s="305"/>
      <c r="R25" s="183"/>
      <c r="S25" s="183"/>
    </row>
    <row r="26" spans="1:19" ht="15">
      <c r="A26" s="331" t="s">
        <v>181</v>
      </c>
      <c r="B26" s="358"/>
      <c r="C26" s="358"/>
      <c r="D26" s="358"/>
      <c r="E26" s="358"/>
      <c r="F26" s="303"/>
      <c r="G26" s="303"/>
      <c r="H26" s="303"/>
      <c r="I26" s="358"/>
      <c r="J26" s="358"/>
      <c r="K26" s="303"/>
      <c r="L26" s="358"/>
      <c r="M26" s="358"/>
      <c r="N26" s="358">
        <v>70</v>
      </c>
      <c r="O26" s="358">
        <v>82</v>
      </c>
      <c r="P26" s="304">
        <f t="shared" si="1"/>
        <v>2</v>
      </c>
      <c r="Q26" s="305"/>
      <c r="R26" s="183"/>
      <c r="S26" s="183"/>
    </row>
    <row r="27" spans="1:19" ht="15">
      <c r="A27" s="331" t="s">
        <v>182</v>
      </c>
      <c r="B27" s="358"/>
      <c r="C27" s="358">
        <v>50</v>
      </c>
      <c r="D27" s="358">
        <v>86</v>
      </c>
      <c r="E27" s="358">
        <v>90</v>
      </c>
      <c r="F27" s="303">
        <v>53</v>
      </c>
      <c r="G27" s="303">
        <v>57</v>
      </c>
      <c r="H27" s="303"/>
      <c r="I27" s="358">
        <v>63</v>
      </c>
      <c r="J27" s="358">
        <v>68</v>
      </c>
      <c r="K27" s="303"/>
      <c r="L27" s="358">
        <v>63</v>
      </c>
      <c r="M27" s="358">
        <v>58</v>
      </c>
      <c r="N27" s="358">
        <v>49</v>
      </c>
      <c r="O27" s="358">
        <v>60</v>
      </c>
      <c r="P27" s="304">
        <f t="shared" si="1"/>
        <v>11</v>
      </c>
      <c r="Q27" s="305"/>
      <c r="R27" s="183"/>
      <c r="S27" s="183"/>
    </row>
    <row r="28" spans="1:19" ht="15">
      <c r="A28" s="330" t="s">
        <v>183</v>
      </c>
      <c r="B28" s="358"/>
      <c r="C28" s="358">
        <v>93</v>
      </c>
      <c r="D28" s="358"/>
      <c r="E28" s="358"/>
      <c r="F28" s="303"/>
      <c r="G28" s="303"/>
      <c r="H28" s="303"/>
      <c r="I28" s="358">
        <v>79</v>
      </c>
      <c r="J28" s="304">
        <v>58</v>
      </c>
      <c r="K28" s="289"/>
      <c r="L28" s="304">
        <v>68</v>
      </c>
      <c r="N28" s="358"/>
      <c r="O28" s="358"/>
      <c r="P28" s="304">
        <f t="shared" si="1"/>
        <v>4</v>
      </c>
      <c r="Q28" s="305"/>
      <c r="R28" s="183"/>
      <c r="S28" s="183"/>
    </row>
    <row r="29" spans="1:19" ht="15">
      <c r="A29" s="331" t="s">
        <v>184</v>
      </c>
      <c r="B29" s="304"/>
      <c r="C29" s="304"/>
      <c r="D29" s="304"/>
      <c r="E29" s="304"/>
      <c r="F29" s="303"/>
      <c r="G29" s="303"/>
      <c r="I29" s="373">
        <v>85</v>
      </c>
      <c r="J29" s="304">
        <v>70</v>
      </c>
      <c r="K29" s="289"/>
      <c r="L29" s="304"/>
      <c r="M29" s="304"/>
      <c r="N29" s="304"/>
      <c r="O29" s="304"/>
      <c r="P29" s="304">
        <f t="shared" si="1"/>
        <v>2</v>
      </c>
      <c r="Q29" s="305"/>
      <c r="R29" s="183"/>
      <c r="S29" s="183"/>
    </row>
    <row r="30" spans="1:19" ht="15">
      <c r="A30" s="331" t="s">
        <v>185</v>
      </c>
      <c r="B30" s="358"/>
      <c r="C30" s="358"/>
      <c r="D30" s="358"/>
      <c r="E30" s="358"/>
      <c r="F30" s="303"/>
      <c r="G30" s="303"/>
      <c r="H30" s="303"/>
      <c r="I30" s="358"/>
      <c r="J30" s="358"/>
      <c r="K30" s="303"/>
      <c r="L30" s="358">
        <v>93</v>
      </c>
      <c r="M30" s="358">
        <v>92</v>
      </c>
      <c r="N30" s="358">
        <v>23</v>
      </c>
      <c r="O30" s="358">
        <v>67</v>
      </c>
      <c r="P30" s="304">
        <f t="shared" si="1"/>
        <v>4</v>
      </c>
      <c r="Q30" s="305"/>
      <c r="R30" s="183"/>
      <c r="S30" s="183"/>
    </row>
    <row r="31" spans="1:19" ht="15">
      <c r="A31" s="331" t="s">
        <v>186</v>
      </c>
      <c r="B31" s="183"/>
      <c r="C31" s="324">
        <v>84</v>
      </c>
      <c r="D31" s="324">
        <v>77</v>
      </c>
      <c r="E31" s="324">
        <v>95</v>
      </c>
      <c r="F31" s="366">
        <v>63</v>
      </c>
      <c r="G31" s="367"/>
      <c r="H31" s="421"/>
      <c r="I31" s="368"/>
      <c r="J31" s="368"/>
      <c r="K31" s="421"/>
      <c r="L31" s="368"/>
      <c r="M31" s="368"/>
      <c r="N31" s="368"/>
      <c r="O31" s="368"/>
      <c r="P31" s="304">
        <f t="shared" si="1"/>
        <v>4</v>
      </c>
      <c r="Q31" s="305"/>
      <c r="R31" s="183"/>
      <c r="S31" s="183"/>
    </row>
    <row r="32" spans="1:19" ht="15">
      <c r="A32" s="330" t="s">
        <v>187</v>
      </c>
      <c r="B32" s="136"/>
      <c r="C32" s="185"/>
      <c r="D32" s="185"/>
      <c r="E32" s="185"/>
      <c r="F32" s="369"/>
      <c r="G32" s="369"/>
      <c r="H32" s="422"/>
      <c r="I32" s="185"/>
      <c r="J32" s="185"/>
      <c r="K32" s="422"/>
      <c r="L32" s="370">
        <v>34</v>
      </c>
      <c r="M32" s="370">
        <v>62</v>
      </c>
      <c r="N32" s="370">
        <v>23</v>
      </c>
      <c r="O32" s="185"/>
      <c r="P32" s="304">
        <f t="shared" si="1"/>
        <v>3</v>
      </c>
      <c r="Q32" s="305"/>
      <c r="R32" s="183"/>
      <c r="S32" s="183"/>
    </row>
    <row r="33" spans="1:19" ht="15">
      <c r="A33" s="330" t="s">
        <v>244</v>
      </c>
      <c r="B33" s="342"/>
      <c r="C33" s="370"/>
      <c r="D33" s="370"/>
      <c r="E33" s="370"/>
      <c r="F33" s="371"/>
      <c r="G33" s="371"/>
      <c r="H33" s="423"/>
      <c r="I33" s="370">
        <v>93</v>
      </c>
      <c r="J33" s="370">
        <v>52</v>
      </c>
      <c r="K33" s="423"/>
      <c r="L33" s="370">
        <v>66</v>
      </c>
      <c r="M33" s="370"/>
      <c r="N33" s="370"/>
      <c r="O33" s="370"/>
      <c r="P33" s="304">
        <f t="shared" si="1"/>
        <v>3</v>
      </c>
      <c r="Q33" s="305"/>
      <c r="R33" s="183"/>
      <c r="S33" s="183"/>
    </row>
    <row r="34" spans="1:19" ht="15">
      <c r="A34" s="331" t="s">
        <v>188</v>
      </c>
      <c r="B34" s="136"/>
      <c r="C34" s="304">
        <v>84</v>
      </c>
      <c r="D34" s="304">
        <v>79</v>
      </c>
      <c r="E34" s="304">
        <v>88</v>
      </c>
      <c r="F34" s="372"/>
      <c r="G34" s="372"/>
      <c r="H34" s="181"/>
      <c r="I34" s="2"/>
      <c r="J34" s="2"/>
      <c r="K34" s="181"/>
      <c r="L34" s="2"/>
      <c r="M34" s="2"/>
      <c r="N34" s="2"/>
      <c r="O34" s="2">
        <v>73</v>
      </c>
      <c r="P34" s="304">
        <f t="shared" si="1"/>
        <v>4</v>
      </c>
      <c r="Q34" s="305"/>
      <c r="R34" s="183"/>
      <c r="S34" s="183"/>
    </row>
    <row r="35" spans="1:19" ht="15">
      <c r="A35" s="331" t="s">
        <v>189</v>
      </c>
      <c r="B35" s="183"/>
      <c r="C35" s="304">
        <v>95</v>
      </c>
      <c r="D35" s="304">
        <v>92</v>
      </c>
      <c r="E35" s="304"/>
      <c r="G35" s="303"/>
      <c r="I35" s="304"/>
      <c r="J35" s="304"/>
      <c r="K35" s="289"/>
      <c r="L35" s="304"/>
      <c r="N35" s="304">
        <v>72</v>
      </c>
      <c r="O35" s="304">
        <v>83</v>
      </c>
      <c r="P35" s="304">
        <f t="shared" si="1"/>
        <v>4</v>
      </c>
      <c r="Q35" s="305"/>
      <c r="R35" s="183"/>
      <c r="S35" s="183"/>
    </row>
    <row r="36" spans="1:19" ht="15">
      <c r="A36" s="330" t="s">
        <v>190</v>
      </c>
      <c r="B36" s="183"/>
      <c r="C36" s="304"/>
      <c r="D36" s="304"/>
      <c r="E36" s="304">
        <v>70</v>
      </c>
      <c r="F36" s="335">
        <v>40</v>
      </c>
      <c r="G36" s="303">
        <v>85</v>
      </c>
      <c r="I36" s="304"/>
      <c r="J36" s="304"/>
      <c r="K36" s="289"/>
      <c r="L36" s="304"/>
      <c r="N36" s="304"/>
      <c r="O36" s="304"/>
      <c r="P36" s="304">
        <f t="shared" si="1"/>
        <v>3</v>
      </c>
      <c r="Q36" s="305"/>
      <c r="R36" s="183"/>
      <c r="S36" s="183"/>
    </row>
    <row r="37" spans="1:19" ht="15">
      <c r="A37" s="331" t="s">
        <v>191</v>
      </c>
      <c r="B37" s="183"/>
      <c r="C37" s="304">
        <v>90</v>
      </c>
      <c r="D37" s="304"/>
      <c r="E37" s="304"/>
      <c r="G37" s="303"/>
      <c r="I37" s="304"/>
      <c r="J37" s="304"/>
      <c r="K37" s="289"/>
      <c r="L37" s="304"/>
      <c r="M37" s="304">
        <v>68</v>
      </c>
      <c r="N37" s="304">
        <v>41</v>
      </c>
      <c r="O37" s="304">
        <v>57</v>
      </c>
      <c r="P37" s="304">
        <f t="shared" si="1"/>
        <v>4</v>
      </c>
      <c r="Q37" s="305"/>
      <c r="R37" s="183"/>
      <c r="S37" s="183"/>
    </row>
    <row r="38" spans="1:19" ht="15">
      <c r="A38" s="330" t="s">
        <v>285</v>
      </c>
      <c r="B38" s="183"/>
      <c r="C38" s="304">
        <v>77</v>
      </c>
      <c r="D38" s="304">
        <v>57</v>
      </c>
      <c r="E38" s="304">
        <v>86</v>
      </c>
      <c r="F38" s="303">
        <v>30</v>
      </c>
      <c r="G38" s="303">
        <v>64</v>
      </c>
      <c r="I38" s="304"/>
      <c r="J38" s="304"/>
      <c r="K38" s="289"/>
      <c r="L38" s="304"/>
      <c r="N38" s="304"/>
      <c r="O38" s="304"/>
      <c r="P38" s="304"/>
      <c r="Q38" s="305"/>
      <c r="R38" s="183"/>
      <c r="S38" s="183"/>
    </row>
    <row r="39" spans="1:19" ht="15">
      <c r="A39" s="330" t="s">
        <v>286</v>
      </c>
      <c r="B39" s="183"/>
      <c r="C39" s="304">
        <v>85</v>
      </c>
      <c r="D39" s="304">
        <v>87</v>
      </c>
      <c r="E39" s="304">
        <v>95</v>
      </c>
      <c r="F39" s="303">
        <v>29</v>
      </c>
      <c r="G39" s="303"/>
      <c r="I39" s="304"/>
      <c r="J39" s="304"/>
      <c r="K39" s="289"/>
      <c r="L39" s="304"/>
      <c r="N39" s="304"/>
      <c r="O39" s="304"/>
      <c r="P39" s="304"/>
      <c r="Q39" s="305"/>
      <c r="R39" s="183"/>
      <c r="S39" s="183"/>
    </row>
    <row r="40" spans="1:19" ht="15">
      <c r="A40" s="330" t="s">
        <v>217</v>
      </c>
      <c r="B40" s="183"/>
      <c r="C40" s="304"/>
      <c r="D40" s="304"/>
      <c r="E40" s="304"/>
      <c r="G40" s="303"/>
      <c r="I40" s="304">
        <v>76</v>
      </c>
      <c r="J40" s="304">
        <v>59</v>
      </c>
      <c r="K40" s="289"/>
      <c r="L40" s="304">
        <v>66</v>
      </c>
      <c r="N40" s="304"/>
      <c r="O40" s="304"/>
      <c r="P40" s="304">
        <f t="shared" si="1"/>
        <v>3</v>
      </c>
      <c r="Q40" s="305"/>
      <c r="R40" s="183"/>
      <c r="S40" s="183"/>
    </row>
    <row r="41" spans="1:19" ht="15">
      <c r="A41" s="331" t="s">
        <v>192</v>
      </c>
      <c r="B41" s="183"/>
      <c r="C41" s="359"/>
      <c r="D41" s="359">
        <v>66</v>
      </c>
      <c r="E41" s="360">
        <v>87</v>
      </c>
      <c r="F41" s="360">
        <v>40</v>
      </c>
      <c r="G41" s="360">
        <v>59</v>
      </c>
      <c r="H41" s="359"/>
      <c r="I41" s="359"/>
      <c r="J41" s="359"/>
      <c r="K41" s="359"/>
      <c r="L41" s="359"/>
      <c r="M41" s="359"/>
      <c r="N41" s="359"/>
      <c r="O41" s="359"/>
      <c r="P41" s="304">
        <f t="shared" si="1"/>
        <v>4</v>
      </c>
      <c r="Q41" s="305"/>
      <c r="R41" s="183"/>
      <c r="S41" s="183"/>
    </row>
    <row r="42" spans="1:19" ht="15">
      <c r="A42" s="331" t="s">
        <v>193</v>
      </c>
      <c r="B42" s="183"/>
      <c r="C42" s="359"/>
      <c r="D42" s="359"/>
      <c r="E42" s="359"/>
      <c r="F42" s="360"/>
      <c r="G42" s="360"/>
      <c r="H42" s="359"/>
      <c r="I42" s="359">
        <v>93</v>
      </c>
      <c r="J42" s="359">
        <v>81</v>
      </c>
      <c r="K42" s="359"/>
      <c r="L42" s="359"/>
      <c r="M42" s="359"/>
      <c r="N42" s="359"/>
      <c r="O42" s="359"/>
      <c r="P42" s="304">
        <f t="shared" si="1"/>
        <v>2</v>
      </c>
      <c r="Q42" s="305"/>
      <c r="R42" s="183"/>
      <c r="S42" s="183"/>
    </row>
    <row r="43" spans="1:19" ht="15">
      <c r="A43" s="330" t="s">
        <v>128</v>
      </c>
      <c r="B43" s="183"/>
      <c r="C43" s="359"/>
      <c r="D43" s="359"/>
      <c r="E43" s="359"/>
      <c r="F43" s="360"/>
      <c r="G43" s="360"/>
      <c r="H43" s="359"/>
      <c r="I43" s="359"/>
      <c r="J43" s="359"/>
      <c r="K43" s="359"/>
      <c r="L43" s="359">
        <v>74</v>
      </c>
      <c r="M43" s="359">
        <v>54</v>
      </c>
      <c r="N43" s="359">
        <v>26</v>
      </c>
      <c r="O43" s="359"/>
      <c r="P43" s="304">
        <f t="shared" si="1"/>
        <v>3</v>
      </c>
      <c r="Q43" s="305"/>
      <c r="R43" s="183"/>
      <c r="S43" s="183"/>
    </row>
    <row r="44" spans="1:19" ht="15">
      <c r="A44" s="331" t="s">
        <v>194</v>
      </c>
      <c r="B44" s="183"/>
      <c r="C44" s="359">
        <v>10</v>
      </c>
      <c r="D44" s="359">
        <v>92</v>
      </c>
      <c r="E44" s="359">
        <v>85</v>
      </c>
      <c r="F44" s="360"/>
      <c r="G44" s="360"/>
      <c r="H44" s="359"/>
      <c r="I44" s="359"/>
      <c r="J44" s="359"/>
      <c r="K44" s="359"/>
      <c r="L44" s="359"/>
      <c r="M44" s="359"/>
      <c r="N44" s="359"/>
      <c r="O44" s="359">
        <v>66</v>
      </c>
      <c r="P44" s="304">
        <f t="shared" si="1"/>
        <v>4</v>
      </c>
      <c r="Q44" s="305"/>
      <c r="R44" s="183"/>
      <c r="S44" s="183"/>
    </row>
    <row r="45" spans="1:19" ht="15">
      <c r="A45" s="331" t="s">
        <v>195</v>
      </c>
      <c r="B45" s="183"/>
      <c r="C45" s="359"/>
      <c r="D45" s="359"/>
      <c r="E45" s="359"/>
      <c r="F45" s="360"/>
      <c r="G45" s="360"/>
      <c r="H45" s="359"/>
      <c r="I45" s="359"/>
      <c r="J45" s="359">
        <v>60</v>
      </c>
      <c r="K45" s="359"/>
      <c r="L45" s="359">
        <v>67</v>
      </c>
      <c r="M45" s="359">
        <v>56</v>
      </c>
      <c r="N45" s="359"/>
      <c r="O45" s="359"/>
      <c r="P45" s="304">
        <f t="shared" si="1"/>
        <v>3</v>
      </c>
      <c r="Q45" s="305"/>
      <c r="R45" s="183"/>
      <c r="S45" s="183"/>
    </row>
    <row r="46" spans="1:19" ht="15">
      <c r="A46" s="330" t="s">
        <v>196</v>
      </c>
      <c r="B46" s="183"/>
      <c r="C46" s="359"/>
      <c r="D46" s="359"/>
      <c r="E46" s="359">
        <v>81</v>
      </c>
      <c r="F46" s="360">
        <v>43</v>
      </c>
      <c r="G46" s="360">
        <v>90</v>
      </c>
      <c r="H46" s="359"/>
      <c r="I46" s="359"/>
      <c r="J46" s="359"/>
      <c r="K46" s="359"/>
      <c r="L46" s="359"/>
      <c r="M46" s="359"/>
      <c r="N46" s="359"/>
      <c r="O46" s="359"/>
      <c r="P46" s="304">
        <f t="shared" si="1"/>
        <v>3</v>
      </c>
      <c r="Q46" s="305"/>
      <c r="R46" s="183"/>
      <c r="S46" s="183"/>
    </row>
    <row r="47" spans="1:19" ht="15">
      <c r="A47" s="330" t="s">
        <v>245</v>
      </c>
      <c r="B47" s="183"/>
      <c r="C47" s="359"/>
      <c r="D47" s="359"/>
      <c r="E47" s="359"/>
      <c r="F47" s="360"/>
      <c r="G47" s="360"/>
      <c r="H47" s="359"/>
      <c r="I47" s="359"/>
      <c r="J47" s="359"/>
      <c r="K47" s="359"/>
      <c r="L47" s="359">
        <v>96</v>
      </c>
      <c r="M47" s="359">
        <v>80</v>
      </c>
      <c r="N47" s="359">
        <v>52</v>
      </c>
      <c r="O47" s="359">
        <v>84</v>
      </c>
      <c r="P47" s="304">
        <f t="shared" si="1"/>
        <v>4</v>
      </c>
      <c r="Q47" s="305"/>
      <c r="R47" s="183"/>
      <c r="S47" s="183"/>
    </row>
    <row r="48" spans="1:19" ht="15">
      <c r="A48" s="330" t="s">
        <v>197</v>
      </c>
      <c r="B48" s="183"/>
      <c r="C48" s="359"/>
      <c r="D48" s="359">
        <v>57</v>
      </c>
      <c r="E48" s="359">
        <v>77</v>
      </c>
      <c r="F48" s="360">
        <v>42</v>
      </c>
      <c r="G48" s="360">
        <v>58</v>
      </c>
      <c r="H48" s="359"/>
      <c r="I48" s="359"/>
      <c r="J48" s="359"/>
      <c r="K48" s="359"/>
      <c r="L48" s="359"/>
      <c r="M48" s="359"/>
      <c r="N48" s="359"/>
      <c r="O48" s="359"/>
      <c r="P48" s="304">
        <f t="shared" ref="P48:P52" si="2">COUNTA(C48:O48)</f>
        <v>4</v>
      </c>
      <c r="Q48" s="305"/>
      <c r="R48" s="183"/>
      <c r="S48" s="183"/>
    </row>
    <row r="49" spans="1:20" ht="15">
      <c r="A49" s="331" t="s">
        <v>198</v>
      </c>
      <c r="B49" s="183"/>
      <c r="C49" s="359"/>
      <c r="D49" s="359"/>
      <c r="E49" s="359"/>
      <c r="F49" s="360"/>
      <c r="G49" s="360"/>
      <c r="H49" s="359"/>
      <c r="I49" s="359">
        <v>70</v>
      </c>
      <c r="J49" s="359">
        <v>59</v>
      </c>
      <c r="K49" s="359"/>
      <c r="L49" s="359"/>
      <c r="M49" s="359"/>
      <c r="N49" s="359"/>
      <c r="O49" s="359"/>
      <c r="P49" s="304">
        <f t="shared" si="2"/>
        <v>2</v>
      </c>
      <c r="Q49" s="305"/>
      <c r="R49" s="183"/>
      <c r="S49" s="183"/>
    </row>
    <row r="50" spans="1:20" ht="15">
      <c r="A50" s="330" t="s">
        <v>199</v>
      </c>
      <c r="B50" s="183"/>
      <c r="C50" s="359"/>
      <c r="D50" s="359"/>
      <c r="E50" s="359"/>
      <c r="F50" s="360"/>
      <c r="G50" s="360"/>
      <c r="H50" s="359"/>
      <c r="I50" s="359"/>
      <c r="J50" s="359"/>
      <c r="K50" s="359"/>
      <c r="L50" s="359">
        <v>66</v>
      </c>
      <c r="M50" s="359">
        <v>60</v>
      </c>
      <c r="N50" s="359">
        <v>31</v>
      </c>
      <c r="O50" s="359">
        <v>60</v>
      </c>
      <c r="P50" s="304">
        <f t="shared" si="2"/>
        <v>4</v>
      </c>
      <c r="Q50" s="305"/>
      <c r="R50" s="183"/>
      <c r="S50" s="183"/>
    </row>
    <row r="51" spans="1:20" ht="15">
      <c r="A51" s="330"/>
      <c r="B51" s="183"/>
      <c r="C51" s="359">
        <f>COUNTA(C5:C50)</f>
        <v>19</v>
      </c>
      <c r="D51" s="359">
        <f t="shared" ref="D51:O51" si="3">COUNTA(D5:D50)</f>
        <v>18</v>
      </c>
      <c r="E51" s="359">
        <f t="shared" si="3"/>
        <v>19</v>
      </c>
      <c r="F51" s="359">
        <f t="shared" si="3"/>
        <v>19</v>
      </c>
      <c r="G51" s="359">
        <f t="shared" si="3"/>
        <v>15</v>
      </c>
      <c r="H51" s="359">
        <f t="shared" si="3"/>
        <v>0</v>
      </c>
      <c r="I51" s="359">
        <f t="shared" si="3"/>
        <v>16</v>
      </c>
      <c r="J51" s="359">
        <f t="shared" si="3"/>
        <v>17</v>
      </c>
      <c r="K51" s="359">
        <f t="shared" si="3"/>
        <v>0</v>
      </c>
      <c r="L51" s="359">
        <f t="shared" si="3"/>
        <v>16</v>
      </c>
      <c r="M51" s="359">
        <f t="shared" si="3"/>
        <v>15</v>
      </c>
      <c r="N51" s="359">
        <f t="shared" si="3"/>
        <v>16</v>
      </c>
      <c r="O51" s="359">
        <f t="shared" si="3"/>
        <v>17</v>
      </c>
      <c r="P51" s="304"/>
      <c r="Q51" s="305"/>
      <c r="R51" s="183"/>
      <c r="S51" s="183"/>
    </row>
    <row r="52" spans="1:20">
      <c r="A52" s="183"/>
      <c r="B52" s="183"/>
      <c r="C52" s="316">
        <f>AVERAGE(C5:C50)</f>
        <v>82.84210526315789</v>
      </c>
      <c r="D52" s="316">
        <f t="shared" ref="D52:O52" si="4">AVERAGE(D5:D50)</f>
        <v>78</v>
      </c>
      <c r="E52" s="316">
        <f t="shared" si="4"/>
        <v>84.21052631578948</v>
      </c>
      <c r="F52" s="316">
        <f t="shared" si="4"/>
        <v>44.736842105263158</v>
      </c>
      <c r="G52" s="316">
        <f t="shared" si="4"/>
        <v>69.599999999999994</v>
      </c>
      <c r="H52" s="405"/>
      <c r="I52" s="316">
        <f t="shared" si="4"/>
        <v>76.0625</v>
      </c>
      <c r="J52" s="316">
        <f t="shared" si="4"/>
        <v>59.235294117647058</v>
      </c>
      <c r="K52" s="405"/>
      <c r="L52" s="316">
        <f t="shared" si="4"/>
        <v>65.4375</v>
      </c>
      <c r="M52" s="316">
        <f t="shared" si="4"/>
        <v>61.333333333333336</v>
      </c>
      <c r="N52" s="316">
        <f t="shared" si="4"/>
        <v>38</v>
      </c>
      <c r="O52" s="316">
        <f t="shared" si="4"/>
        <v>66</v>
      </c>
      <c r="P52" s="304">
        <f t="shared" si="2"/>
        <v>11</v>
      </c>
      <c r="Q52" s="305"/>
      <c r="R52" s="183"/>
      <c r="S52" s="183" t="s">
        <v>275</v>
      </c>
      <c r="T52" s="326">
        <f>MIN(C52:O52)</f>
        <v>38</v>
      </c>
    </row>
    <row r="53" spans="1:20" ht="14.25">
      <c r="A53" s="183"/>
      <c r="B53" s="183"/>
      <c r="C53" s="377">
        <f>(((C52/$T$52)^2-1)/(($T$53/$T$52)^2-1))*100</f>
        <v>95.952158123053891</v>
      </c>
      <c r="D53" s="377">
        <f t="shared" ref="D53:O53" si="5">(((D52/$T$52)^2-1)/(($T$53/$T$52)^2-1))*100</f>
        <v>82.16151734719304</v>
      </c>
      <c r="E53" s="377">
        <f t="shared" si="5"/>
        <v>100</v>
      </c>
      <c r="F53" s="377">
        <f t="shared" si="5"/>
        <v>9.8697415432066116</v>
      </c>
      <c r="G53" s="377">
        <f t="shared" si="5"/>
        <v>60.207393280868914</v>
      </c>
      <c r="H53" s="377" t="s">
        <v>48</v>
      </c>
      <c r="I53" s="377">
        <f t="shared" si="5"/>
        <v>76.875980281522772</v>
      </c>
      <c r="J53" s="377">
        <f t="shared" si="5"/>
        <v>36.562230589385621</v>
      </c>
      <c r="K53" s="377" t="s">
        <v>48</v>
      </c>
      <c r="L53" s="377">
        <f t="shared" si="5"/>
        <v>50.254276351205853</v>
      </c>
      <c r="M53" s="377">
        <f t="shared" si="5"/>
        <v>41.041409287893842</v>
      </c>
      <c r="N53" s="377">
        <f t="shared" si="5"/>
        <v>0</v>
      </c>
      <c r="O53" s="377">
        <f t="shared" si="5"/>
        <v>51.563435024790103</v>
      </c>
      <c r="P53" s="305"/>
      <c r="Q53" s="305"/>
      <c r="R53" s="183"/>
      <c r="S53" s="183" t="s">
        <v>276</v>
      </c>
      <c r="T53" s="355">
        <f>MAX(C52:O52)</f>
        <v>84.21052631578948</v>
      </c>
    </row>
  </sheetData>
  <phoneticPr fontId="18" type="noConversion"/>
  <printOptions gridLines="1"/>
  <pageMargins left="0.75" right="0.75" top="1" bottom="1" header="0.5" footer="0.5"/>
  <pageSetup scale="5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4"/>
  <sheetViews>
    <sheetView zoomScale="75" workbookViewId="0"/>
  </sheetViews>
  <sheetFormatPr defaultRowHeight="12.75"/>
  <cols>
    <col min="1" max="1" width="50.85546875" customWidth="1"/>
  </cols>
  <sheetData>
    <row r="1" spans="1:3" ht="18.75">
      <c r="A1" s="7" t="s">
        <v>201</v>
      </c>
      <c r="B1" s="6"/>
      <c r="C1" s="6"/>
    </row>
    <row r="2" spans="1:3">
      <c r="A2" s="6"/>
      <c r="B2" s="6"/>
      <c r="C2" s="6"/>
    </row>
    <row r="3" spans="1:3">
      <c r="A3" s="6"/>
      <c r="B3" s="6"/>
      <c r="C3" s="6"/>
    </row>
    <row r="4" spans="1:3">
      <c r="A4" s="24"/>
      <c r="B4" s="23" t="s">
        <v>9</v>
      </c>
      <c r="C4" s="20"/>
    </row>
    <row r="5" spans="1:3" ht="15">
      <c r="A5" s="239" t="s">
        <v>120</v>
      </c>
      <c r="B5" s="376">
        <v>50</v>
      </c>
    </row>
    <row r="6" spans="1:3" ht="15">
      <c r="A6" s="239" t="s">
        <v>121</v>
      </c>
      <c r="B6" s="376">
        <v>50</v>
      </c>
    </row>
    <row r="7" spans="1:3" ht="15">
      <c r="A7" s="239" t="s">
        <v>122</v>
      </c>
      <c r="B7" s="376">
        <v>50</v>
      </c>
    </row>
    <row r="8" spans="1:3" s="291" customFormat="1" ht="15">
      <c r="A8" s="287" t="s">
        <v>160</v>
      </c>
      <c r="B8" s="376">
        <v>50</v>
      </c>
    </row>
    <row r="9" spans="1:3" ht="15">
      <c r="A9" s="287" t="s">
        <v>161</v>
      </c>
      <c r="B9" s="376">
        <v>50</v>
      </c>
    </row>
    <row r="10" spans="1:3" ht="15">
      <c r="A10" s="239" t="s">
        <v>281</v>
      </c>
      <c r="B10" s="376">
        <v>0</v>
      </c>
    </row>
    <row r="11" spans="1:3" ht="15">
      <c r="A11" s="239" t="s">
        <v>123</v>
      </c>
      <c r="B11" s="376">
        <v>50</v>
      </c>
    </row>
    <row r="12" spans="1:3" ht="15">
      <c r="A12" s="239" t="s">
        <v>163</v>
      </c>
      <c r="B12" s="376">
        <v>50</v>
      </c>
    </row>
    <row r="13" spans="1:3" ht="15">
      <c r="A13" s="239" t="s">
        <v>283</v>
      </c>
      <c r="B13" s="376">
        <v>0</v>
      </c>
    </row>
    <row r="14" spans="1:3" s="146" customFormat="1" ht="15">
      <c r="A14" s="239" t="s">
        <v>164</v>
      </c>
      <c r="B14" s="376">
        <v>50</v>
      </c>
    </row>
    <row r="15" spans="1:3" ht="15">
      <c r="A15" s="239" t="s">
        <v>165</v>
      </c>
      <c r="B15" s="376">
        <v>50</v>
      </c>
    </row>
    <row r="16" spans="1:3" ht="15">
      <c r="A16" s="239" t="s">
        <v>166</v>
      </c>
      <c r="B16" s="376">
        <v>50</v>
      </c>
    </row>
    <row r="17" spans="1:2" ht="15">
      <c r="A17" s="239" t="s">
        <v>167</v>
      </c>
      <c r="B17" s="376">
        <v>50</v>
      </c>
    </row>
    <row r="19" spans="1:2">
      <c r="A19" s="22"/>
    </row>
    <row r="20" spans="1:2">
      <c r="A20" s="22"/>
    </row>
    <row r="21" spans="1:2">
      <c r="A21" s="22"/>
    </row>
    <row r="22" spans="1:2">
      <c r="A22" s="22"/>
    </row>
    <row r="23" spans="1:2">
      <c r="A23" s="22"/>
    </row>
    <row r="24" spans="1:2">
      <c r="A24" s="22"/>
    </row>
  </sheetData>
  <phoneticPr fontId="18" type="noConversion"/>
  <printOptions gridLines="1"/>
  <pageMargins left="0.75" right="0.75" top="1" bottom="1" header="0.5" footer="0.5"/>
  <pageSetup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"/>
  <sheetViews>
    <sheetView workbookViewId="0">
      <selection activeCell="B1" sqref="B1"/>
    </sheetView>
  </sheetViews>
  <sheetFormatPr defaultRowHeight="12.75"/>
  <cols>
    <col min="1" max="1" width="5.42578125" customWidth="1"/>
    <col min="2" max="2" width="15.42578125" customWidth="1"/>
    <col min="3" max="4" width="11.140625" customWidth="1"/>
    <col min="5" max="5" width="9.140625" hidden="1" customWidth="1"/>
    <col min="8" max="8" width="16.42578125" hidden="1" customWidth="1"/>
  </cols>
  <sheetData>
    <row r="1" spans="1:18" ht="18.75">
      <c r="A1" s="7" t="s">
        <v>202</v>
      </c>
      <c r="B1" s="6"/>
      <c r="C1" s="6"/>
      <c r="D1" s="6"/>
      <c r="E1" s="6"/>
    </row>
    <row r="2" spans="1:18" s="68" customFormat="1">
      <c r="A2" s="38"/>
      <c r="B2" s="38"/>
      <c r="C2" s="38"/>
      <c r="D2" s="38"/>
      <c r="E2" s="38"/>
    </row>
    <row r="3" spans="1:18" s="68" customFormat="1">
      <c r="A3" s="38"/>
      <c r="B3" s="38"/>
      <c r="C3" s="69"/>
      <c r="D3" s="84"/>
      <c r="E3" s="38"/>
    </row>
    <row r="4" spans="1:18" s="68" customFormat="1">
      <c r="A4" s="38"/>
      <c r="B4" s="38"/>
      <c r="C4" s="69"/>
      <c r="D4" s="84"/>
      <c r="E4" s="38"/>
    </row>
    <row r="5" spans="1:18" s="68" customFormat="1">
      <c r="A5" s="24"/>
      <c r="B5" s="24"/>
      <c r="C5" s="24"/>
      <c r="D5" s="24"/>
      <c r="E5" s="38"/>
    </row>
    <row r="6" spans="1:18" ht="89.25">
      <c r="B6" s="136" t="s">
        <v>272</v>
      </c>
      <c r="C6" s="136" t="s">
        <v>84</v>
      </c>
      <c r="D6" s="136" t="s">
        <v>72</v>
      </c>
      <c r="E6" s="136"/>
      <c r="F6" s="352" t="s">
        <v>263</v>
      </c>
      <c r="G6" s="352" t="s">
        <v>264</v>
      </c>
      <c r="H6" s="352"/>
      <c r="I6" s="352" t="s">
        <v>265</v>
      </c>
      <c r="J6" s="352" t="s">
        <v>266</v>
      </c>
      <c r="K6" s="352" t="s">
        <v>267</v>
      </c>
      <c r="L6" s="352" t="s">
        <v>268</v>
      </c>
      <c r="M6" s="352"/>
      <c r="N6" s="352" t="s">
        <v>269</v>
      </c>
      <c r="O6" s="352" t="s">
        <v>270</v>
      </c>
      <c r="Q6" s="352" t="s">
        <v>271</v>
      </c>
      <c r="R6" s="352"/>
    </row>
    <row r="7" spans="1:18">
      <c r="A7">
        <v>1</v>
      </c>
      <c r="B7" t="s">
        <v>252</v>
      </c>
      <c r="C7" t="s">
        <v>85</v>
      </c>
      <c r="D7" s="438">
        <v>13457.945</v>
      </c>
      <c r="E7" s="346"/>
      <c r="F7" s="224">
        <v>3.76</v>
      </c>
      <c r="G7" s="55">
        <v>2.2999999999999998</v>
      </c>
      <c r="I7">
        <v>10</v>
      </c>
      <c r="J7">
        <v>6</v>
      </c>
      <c r="K7" s="353">
        <v>0</v>
      </c>
      <c r="L7">
        <f t="shared" ref="L7:L19" si="0">SUM(I7:K7)</f>
        <v>16</v>
      </c>
      <c r="N7" s="55">
        <f t="shared" ref="N7:N19" si="1">SUM(G7,I7:K7)</f>
        <v>18.3</v>
      </c>
      <c r="O7" s="55">
        <f t="shared" ref="O7:O19" si="2">L7+F7</f>
        <v>19.759999999999998</v>
      </c>
      <c r="Q7" s="55">
        <v>1.3</v>
      </c>
      <c r="R7" s="55"/>
    </row>
    <row r="8" spans="1:18">
      <c r="A8">
        <v>2</v>
      </c>
      <c r="B8" t="s">
        <v>253</v>
      </c>
      <c r="C8" t="s">
        <v>85</v>
      </c>
      <c r="D8" s="438">
        <v>13507.33</v>
      </c>
      <c r="E8" s="347"/>
      <c r="F8" s="224">
        <v>3.55</v>
      </c>
      <c r="G8" s="55">
        <v>2.1</v>
      </c>
      <c r="I8">
        <v>10</v>
      </c>
      <c r="J8">
        <v>6</v>
      </c>
      <c r="K8" s="353">
        <v>0</v>
      </c>
      <c r="L8">
        <f t="shared" si="0"/>
        <v>16</v>
      </c>
      <c r="N8" s="55">
        <f t="shared" si="1"/>
        <v>18.100000000000001</v>
      </c>
      <c r="O8" s="55">
        <v>19.5</v>
      </c>
      <c r="Q8" s="55">
        <v>0</v>
      </c>
      <c r="R8" s="55"/>
    </row>
    <row r="9" spans="1:18">
      <c r="A9">
        <v>3</v>
      </c>
      <c r="B9" t="s">
        <v>254</v>
      </c>
      <c r="C9" t="s">
        <v>85</v>
      </c>
      <c r="D9" s="438">
        <v>14205.9</v>
      </c>
      <c r="E9" s="348"/>
      <c r="F9" s="224">
        <v>0.53</v>
      </c>
      <c r="G9" s="55">
        <v>0.3</v>
      </c>
      <c r="I9">
        <v>10</v>
      </c>
      <c r="J9">
        <v>10</v>
      </c>
      <c r="K9" s="353">
        <v>8</v>
      </c>
      <c r="L9">
        <f t="shared" si="0"/>
        <v>28</v>
      </c>
      <c r="N9" s="55">
        <f t="shared" si="1"/>
        <v>28.3</v>
      </c>
      <c r="O9" s="55">
        <f t="shared" si="2"/>
        <v>28.53</v>
      </c>
      <c r="Q9" s="55">
        <v>33.299999999999997</v>
      </c>
      <c r="R9" s="55"/>
    </row>
    <row r="10" spans="1:18" s="320" customFormat="1">
      <c r="A10">
        <v>4</v>
      </c>
      <c r="B10" t="s">
        <v>255</v>
      </c>
      <c r="C10" t="s">
        <v>85</v>
      </c>
      <c r="D10" s="439">
        <v>13425</v>
      </c>
      <c r="E10" s="349"/>
      <c r="F10" s="224">
        <v>3.9</v>
      </c>
      <c r="G10" s="55">
        <v>2.4</v>
      </c>
      <c r="H10"/>
      <c r="I10">
        <v>10</v>
      </c>
      <c r="J10">
        <v>8</v>
      </c>
      <c r="K10" s="354">
        <v>0</v>
      </c>
      <c r="L10">
        <f t="shared" si="0"/>
        <v>18</v>
      </c>
      <c r="M10"/>
      <c r="N10" s="55">
        <f t="shared" si="1"/>
        <v>20.399999999999999</v>
      </c>
      <c r="O10" s="55">
        <f t="shared" si="2"/>
        <v>21.9</v>
      </c>
      <c r="P10"/>
      <c r="Q10" s="55">
        <v>12.8</v>
      </c>
      <c r="R10" s="55"/>
    </row>
    <row r="11" spans="1:18" s="320" customFormat="1">
      <c r="A11">
        <v>5</v>
      </c>
      <c r="B11" t="s">
        <v>256</v>
      </c>
      <c r="C11" t="s">
        <v>85</v>
      </c>
      <c r="D11" s="438">
        <v>14328.33</v>
      </c>
      <c r="E11" s="348"/>
      <c r="F11" s="224">
        <v>0</v>
      </c>
      <c r="G11" s="55">
        <v>0</v>
      </c>
      <c r="H11"/>
      <c r="I11">
        <v>10</v>
      </c>
      <c r="J11">
        <v>10</v>
      </c>
      <c r="K11" s="353">
        <v>9</v>
      </c>
      <c r="L11">
        <f t="shared" si="0"/>
        <v>29</v>
      </c>
      <c r="M11"/>
      <c r="N11" s="55">
        <f t="shared" si="1"/>
        <v>29</v>
      </c>
      <c r="O11" s="55">
        <f t="shared" si="2"/>
        <v>29</v>
      </c>
      <c r="P11"/>
      <c r="Q11" s="55">
        <v>34.200000000000003</v>
      </c>
      <c r="R11" s="55"/>
    </row>
    <row r="12" spans="1:18" s="320" customFormat="1">
      <c r="A12">
        <v>6</v>
      </c>
      <c r="B12" s="183" t="s">
        <v>290</v>
      </c>
      <c r="C12"/>
      <c r="D12" s="438"/>
      <c r="E12" s="348"/>
      <c r="F12" s="224"/>
      <c r="G12" s="55"/>
      <c r="H12"/>
      <c r="I12"/>
      <c r="J12"/>
      <c r="K12" s="353"/>
      <c r="L12"/>
      <c r="M12"/>
      <c r="N12" s="55"/>
      <c r="O12" s="55"/>
      <c r="P12"/>
      <c r="Q12" s="55"/>
      <c r="R12" s="55"/>
    </row>
    <row r="13" spans="1:18">
      <c r="A13">
        <v>7</v>
      </c>
      <c r="B13" t="s">
        <v>257</v>
      </c>
      <c r="C13" t="s">
        <v>85</v>
      </c>
      <c r="D13" s="438">
        <v>12922.63</v>
      </c>
      <c r="E13" s="346"/>
      <c r="F13" s="224">
        <v>6.07</v>
      </c>
      <c r="G13" s="55">
        <v>3.9</v>
      </c>
      <c r="I13">
        <v>10</v>
      </c>
      <c r="J13">
        <v>10</v>
      </c>
      <c r="K13" s="353">
        <v>10</v>
      </c>
      <c r="L13">
        <f t="shared" si="0"/>
        <v>30</v>
      </c>
      <c r="N13" s="55">
        <f t="shared" si="1"/>
        <v>33.9</v>
      </c>
      <c r="O13" s="55">
        <f t="shared" si="2"/>
        <v>36.07</v>
      </c>
      <c r="Q13" s="55">
        <v>44.3</v>
      </c>
      <c r="R13" s="55"/>
    </row>
    <row r="14" spans="1:18">
      <c r="A14">
        <v>9</v>
      </c>
      <c r="B14" t="s">
        <v>258</v>
      </c>
      <c r="C14" t="s">
        <v>85</v>
      </c>
      <c r="D14" s="438">
        <v>14097.934348000003</v>
      </c>
      <c r="E14" s="346"/>
      <c r="F14" s="224">
        <v>1</v>
      </c>
      <c r="G14" s="55">
        <v>0.6</v>
      </c>
      <c r="I14">
        <v>10</v>
      </c>
      <c r="J14">
        <v>10</v>
      </c>
      <c r="K14" s="353">
        <v>10</v>
      </c>
      <c r="L14">
        <f t="shared" si="0"/>
        <v>30</v>
      </c>
      <c r="N14" s="55">
        <f t="shared" si="1"/>
        <v>30.6</v>
      </c>
      <c r="O14" s="55">
        <f t="shared" si="2"/>
        <v>31</v>
      </c>
      <c r="Q14" s="55">
        <v>37.799999999999997</v>
      </c>
      <c r="R14" s="55"/>
    </row>
    <row r="15" spans="1:18">
      <c r="A15">
        <v>10</v>
      </c>
      <c r="B15" s="183" t="s">
        <v>289</v>
      </c>
      <c r="D15" s="438"/>
      <c r="E15" s="346"/>
      <c r="F15" s="224"/>
      <c r="G15" s="55"/>
      <c r="K15" s="353"/>
      <c r="N15" s="55"/>
      <c r="O15" s="55"/>
      <c r="Q15" s="55"/>
      <c r="R15" s="55"/>
    </row>
    <row r="16" spans="1:18">
      <c r="A16">
        <v>11</v>
      </c>
      <c r="B16" t="s">
        <v>259</v>
      </c>
      <c r="C16" t="s">
        <v>85</v>
      </c>
      <c r="D16" s="438">
        <v>10119.26</v>
      </c>
      <c r="E16" s="350"/>
      <c r="F16" s="224">
        <v>18.18</v>
      </c>
      <c r="G16" s="55">
        <v>17</v>
      </c>
      <c r="I16">
        <v>10</v>
      </c>
      <c r="J16">
        <v>7</v>
      </c>
      <c r="K16" s="353">
        <v>0</v>
      </c>
      <c r="L16">
        <f t="shared" si="0"/>
        <v>17</v>
      </c>
      <c r="N16" s="55">
        <f t="shared" si="1"/>
        <v>34</v>
      </c>
      <c r="O16" s="55">
        <f t="shared" si="2"/>
        <v>35.18</v>
      </c>
      <c r="Q16" s="55">
        <v>43.4</v>
      </c>
      <c r="R16" s="55"/>
    </row>
    <row r="17" spans="1:18">
      <c r="A17">
        <v>12</v>
      </c>
      <c r="B17" t="s">
        <v>260</v>
      </c>
      <c r="C17" t="s">
        <v>85</v>
      </c>
      <c r="D17" s="438">
        <v>10077.49</v>
      </c>
      <c r="E17" s="351"/>
      <c r="F17" s="224">
        <v>18.36</v>
      </c>
      <c r="G17" s="55">
        <v>17.3</v>
      </c>
      <c r="I17">
        <v>10</v>
      </c>
      <c r="J17">
        <v>10</v>
      </c>
      <c r="K17" s="353">
        <v>5</v>
      </c>
      <c r="L17">
        <f t="shared" si="0"/>
        <v>25</v>
      </c>
      <c r="N17" s="55">
        <f t="shared" si="1"/>
        <v>42.3</v>
      </c>
      <c r="O17" s="55">
        <f t="shared" si="2"/>
        <v>43.36</v>
      </c>
      <c r="Q17" s="55">
        <v>50</v>
      </c>
      <c r="R17" s="55"/>
    </row>
    <row r="18" spans="1:18" s="146" customFormat="1">
      <c r="A18">
        <v>13</v>
      </c>
      <c r="B18" t="s">
        <v>261</v>
      </c>
      <c r="C18" t="s">
        <v>85</v>
      </c>
      <c r="D18" s="438">
        <v>9699</v>
      </c>
      <c r="E18" s="348"/>
      <c r="F18" s="224">
        <v>20</v>
      </c>
      <c r="G18" s="55">
        <v>20</v>
      </c>
      <c r="H18"/>
      <c r="I18">
        <v>5</v>
      </c>
      <c r="J18">
        <v>5</v>
      </c>
      <c r="K18" s="353">
        <v>0</v>
      </c>
      <c r="L18">
        <f t="shared" si="0"/>
        <v>10</v>
      </c>
      <c r="M18"/>
      <c r="N18" s="55">
        <f t="shared" si="1"/>
        <v>30</v>
      </c>
      <c r="O18" s="55">
        <f t="shared" si="2"/>
        <v>30</v>
      </c>
      <c r="P18"/>
      <c r="Q18" s="55">
        <v>36.1</v>
      </c>
      <c r="R18" s="55"/>
    </row>
    <row r="19" spans="1:18">
      <c r="A19">
        <v>14</v>
      </c>
      <c r="B19" t="s">
        <v>262</v>
      </c>
      <c r="C19" t="s">
        <v>85</v>
      </c>
      <c r="D19" s="438">
        <v>11944</v>
      </c>
      <c r="E19" s="348"/>
      <c r="F19" s="224">
        <v>10.3</v>
      </c>
      <c r="G19" s="55">
        <v>7.4</v>
      </c>
      <c r="I19">
        <v>10</v>
      </c>
      <c r="J19">
        <v>8</v>
      </c>
      <c r="K19" s="353">
        <v>0</v>
      </c>
      <c r="L19">
        <f t="shared" si="0"/>
        <v>18</v>
      </c>
      <c r="N19" s="55">
        <f t="shared" si="1"/>
        <v>25.4</v>
      </c>
      <c r="O19" s="55">
        <f t="shared" si="2"/>
        <v>28.3</v>
      </c>
      <c r="Q19" s="55">
        <v>32.799999999999997</v>
      </c>
      <c r="R19" s="55"/>
    </row>
    <row r="20" spans="1:18" ht="15">
      <c r="A20" s="239"/>
      <c r="B20" s="425"/>
      <c r="C20" s="59"/>
      <c r="D20" s="216"/>
      <c r="E20" s="6"/>
    </row>
    <row r="21" spans="1:18" ht="15">
      <c r="A21" s="239"/>
      <c r="B21" s="425"/>
      <c r="C21" s="59"/>
      <c r="D21" s="216"/>
      <c r="E21" s="6"/>
    </row>
    <row r="22" spans="1:18">
      <c r="A22" s="22"/>
      <c r="B22" s="135"/>
      <c r="C22" s="40"/>
      <c r="D22" s="53"/>
      <c r="E22" s="6"/>
    </row>
    <row r="23" spans="1:18">
      <c r="A23" s="22"/>
      <c r="B23" s="135"/>
      <c r="C23" s="40"/>
      <c r="D23" s="53"/>
      <c r="E23" s="6"/>
    </row>
    <row r="24" spans="1:18">
      <c r="A24" s="22"/>
      <c r="B24" s="135"/>
      <c r="C24" s="40"/>
      <c r="D24" s="53"/>
      <c r="E24" s="6"/>
    </row>
    <row r="25" spans="1:18">
      <c r="A25" s="22"/>
      <c r="B25" s="135"/>
      <c r="C25" s="40"/>
      <c r="D25" s="53"/>
      <c r="E25" s="6"/>
    </row>
    <row r="26" spans="1:18">
      <c r="A26" s="22"/>
      <c r="B26" s="135"/>
      <c r="C26" s="40"/>
      <c r="D26" s="53"/>
      <c r="E26" s="6"/>
    </row>
    <row r="27" spans="1:18">
      <c r="A27" s="22"/>
      <c r="B27" s="50"/>
      <c r="D27" s="53"/>
      <c r="E27" s="6"/>
    </row>
    <row r="28" spans="1:18">
      <c r="A28" s="22"/>
      <c r="B28" s="50"/>
      <c r="C28" s="40"/>
      <c r="D28" s="53"/>
      <c r="E28" s="6"/>
    </row>
    <row r="29" spans="1:18">
      <c r="A29" s="22"/>
      <c r="B29" s="50"/>
      <c r="C29" s="40"/>
      <c r="D29" s="53"/>
      <c r="E29" s="6"/>
    </row>
    <row r="30" spans="1:18">
      <c r="A30" s="22"/>
      <c r="B30" s="50"/>
      <c r="C30" s="40"/>
      <c r="D30" s="53"/>
      <c r="E30" s="6"/>
    </row>
    <row r="31" spans="1:18">
      <c r="A31" s="22"/>
      <c r="B31" s="51"/>
      <c r="C31" s="40"/>
      <c r="D31" s="53"/>
    </row>
    <row r="32" spans="1:18">
      <c r="A32" s="1"/>
      <c r="B32" s="1"/>
      <c r="C32" s="24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</sheetData>
  <phoneticPr fontId="18" type="noConversion"/>
  <printOptions gridLines="1"/>
  <pageMargins left="0.75" right="0.75" top="1" bottom="1" header="0.5" footer="0.5"/>
  <pageSetup orientation="landscape" horizontalDpi="4294967294" verticalDpi="20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7"/>
  <sheetViews>
    <sheetView workbookViewId="0"/>
  </sheetViews>
  <sheetFormatPr defaultRowHeight="12.75"/>
  <cols>
    <col min="1" max="1" width="42" customWidth="1"/>
    <col min="2" max="3" width="10.7109375" style="3" customWidth="1"/>
    <col min="4" max="4" width="9.85546875" style="3" customWidth="1"/>
    <col min="5" max="5" width="11.5703125" style="3" customWidth="1"/>
    <col min="6" max="8" width="8.28515625" style="3" customWidth="1"/>
    <col min="9" max="9" width="10" style="3" bestFit="1" customWidth="1"/>
    <col min="10" max="10" width="7.42578125" style="3" customWidth="1"/>
    <col min="11" max="11" width="8.85546875" style="3" customWidth="1"/>
  </cols>
  <sheetData>
    <row r="1" spans="1:11" ht="18.75">
      <c r="A1" s="46" t="s">
        <v>203</v>
      </c>
      <c r="B1" s="42"/>
      <c r="C1" s="42"/>
      <c r="D1" s="42"/>
      <c r="E1" s="42"/>
      <c r="F1" s="42"/>
      <c r="G1" s="42"/>
      <c r="H1" s="42"/>
      <c r="I1" s="31" t="s">
        <v>99</v>
      </c>
      <c r="J1" s="32">
        <f>MAX(I4:I16)</f>
        <v>43.375</v>
      </c>
      <c r="K1" s="31"/>
    </row>
    <row r="2" spans="1:11" ht="20.25">
      <c r="A2" s="307" t="s">
        <v>48</v>
      </c>
      <c r="B2" s="180"/>
      <c r="C2" s="180"/>
      <c r="D2" s="180"/>
      <c r="E2" s="180"/>
      <c r="F2" s="180"/>
      <c r="G2" s="180"/>
      <c r="H2" s="180"/>
      <c r="I2" s="43" t="s">
        <v>100</v>
      </c>
      <c r="J2" s="194">
        <f>MIN(I4:I16)</f>
        <v>33.666666666666664</v>
      </c>
      <c r="K2" s="43"/>
    </row>
    <row r="3" spans="1:11" s="3" customFormat="1">
      <c r="A3" s="178"/>
      <c r="B3" s="306" t="s">
        <v>246</v>
      </c>
      <c r="C3" s="306" t="s">
        <v>109</v>
      </c>
      <c r="D3" s="306" t="s">
        <v>247</v>
      </c>
      <c r="E3" s="306" t="s">
        <v>249</v>
      </c>
      <c r="F3" s="306" t="s">
        <v>250</v>
      </c>
      <c r="G3" s="306" t="s">
        <v>251</v>
      </c>
      <c r="H3" s="306" t="s">
        <v>110</v>
      </c>
      <c r="I3" s="44" t="s">
        <v>87</v>
      </c>
      <c r="J3" s="44" t="s">
        <v>56</v>
      </c>
      <c r="K3" s="47" t="s">
        <v>28</v>
      </c>
    </row>
    <row r="4" spans="1:11" ht="15">
      <c r="A4" s="239" t="s">
        <v>120</v>
      </c>
      <c r="B4" s="380">
        <v>34.5</v>
      </c>
      <c r="C4" s="380">
        <v>37</v>
      </c>
      <c r="D4" s="380">
        <v>38</v>
      </c>
      <c r="E4" s="380">
        <v>47</v>
      </c>
      <c r="F4" s="380">
        <v>40</v>
      </c>
      <c r="G4" s="380">
        <v>43</v>
      </c>
      <c r="H4" s="380">
        <v>35</v>
      </c>
      <c r="I4" s="45">
        <f>AVERAGE(B4:H4)</f>
        <v>39.214285714285715</v>
      </c>
      <c r="J4" s="195">
        <f>((((I4/$J$2)^2)-1)/((($J$1/$J$2)^2)-1))*50</f>
        <v>27.028399245041435</v>
      </c>
      <c r="K4" s="48">
        <f>RANK(J4,$J$4:$J$16)</f>
        <v>5</v>
      </c>
    </row>
    <row r="5" spans="1:11" ht="15">
      <c r="A5" s="239" t="s">
        <v>121</v>
      </c>
      <c r="B5" s="380">
        <v>37</v>
      </c>
      <c r="C5" s="380" t="s">
        <v>48</v>
      </c>
      <c r="D5" s="380">
        <v>39.5</v>
      </c>
      <c r="E5" s="380">
        <v>44</v>
      </c>
      <c r="F5" s="380">
        <v>32</v>
      </c>
      <c r="G5" s="380">
        <v>43.5</v>
      </c>
      <c r="H5" s="380">
        <v>38</v>
      </c>
      <c r="I5" s="45">
        <f>AVERAGE(B5:H5)</f>
        <v>39</v>
      </c>
      <c r="J5" s="195">
        <f t="shared" ref="J5:J16" si="0">((((I5/$J$2)^2)-1)/((($J$1/$J$2)^2)-1))*50</f>
        <v>25.907984132473892</v>
      </c>
      <c r="K5" s="48">
        <f t="shared" ref="K5:K16" si="1">RANK(J5,$J$4:$J$16)</f>
        <v>6</v>
      </c>
    </row>
    <row r="6" spans="1:11" ht="15">
      <c r="A6" s="239" t="s">
        <v>122</v>
      </c>
      <c r="B6" s="380">
        <v>34</v>
      </c>
      <c r="C6" s="380">
        <v>37</v>
      </c>
      <c r="D6" s="380">
        <v>39</v>
      </c>
      <c r="E6" s="380" t="s">
        <v>48</v>
      </c>
      <c r="F6" s="380">
        <v>45</v>
      </c>
      <c r="G6" s="380">
        <v>42.5</v>
      </c>
      <c r="H6" s="380">
        <v>43</v>
      </c>
      <c r="I6" s="45">
        <f>AVERAGE(B6:H6)</f>
        <v>40.083333333333336</v>
      </c>
      <c r="J6" s="195">
        <f t="shared" si="0"/>
        <v>31.635241877641796</v>
      </c>
      <c r="K6" s="48">
        <f t="shared" si="1"/>
        <v>4</v>
      </c>
    </row>
    <row r="7" spans="1:11" s="243" customFormat="1" ht="15">
      <c r="A7" s="287" t="s">
        <v>160</v>
      </c>
      <c r="B7" s="380">
        <v>24</v>
      </c>
      <c r="C7" s="380">
        <v>39</v>
      </c>
      <c r="D7" s="380">
        <v>32</v>
      </c>
      <c r="E7" s="380" t="s">
        <v>48</v>
      </c>
      <c r="F7" s="380">
        <v>35</v>
      </c>
      <c r="G7" s="380">
        <v>37</v>
      </c>
      <c r="H7" s="380">
        <v>35</v>
      </c>
      <c r="I7" s="212">
        <f>AVERAGE(B7:H7)</f>
        <v>33.666666666666664</v>
      </c>
      <c r="J7" s="333">
        <f t="shared" si="0"/>
        <v>0</v>
      </c>
      <c r="K7" s="289">
        <f t="shared" si="1"/>
        <v>7</v>
      </c>
    </row>
    <row r="8" spans="1:11" ht="15">
      <c r="A8" s="287" t="s">
        <v>161</v>
      </c>
      <c r="B8" s="380"/>
      <c r="C8" s="380"/>
      <c r="D8" s="380"/>
      <c r="E8" s="380"/>
      <c r="F8" s="380"/>
      <c r="G8" s="380"/>
      <c r="H8" s="380"/>
      <c r="I8" s="45" t="s">
        <v>280</v>
      </c>
      <c r="J8" s="195" t="s">
        <v>48</v>
      </c>
      <c r="K8" s="48" t="s">
        <v>48</v>
      </c>
    </row>
    <row r="9" spans="1:11" ht="15">
      <c r="A9" s="239" t="s">
        <v>162</v>
      </c>
      <c r="B9" s="380"/>
      <c r="C9" s="380"/>
      <c r="D9" s="380"/>
      <c r="E9" s="380"/>
      <c r="F9" s="380"/>
      <c r="G9" s="380"/>
      <c r="H9" s="380"/>
      <c r="I9" s="45" t="s">
        <v>280</v>
      </c>
      <c r="J9" s="195" t="s">
        <v>48</v>
      </c>
      <c r="K9" s="48" t="s">
        <v>48</v>
      </c>
    </row>
    <row r="10" spans="1:11" ht="15">
      <c r="A10" s="239" t="s">
        <v>123</v>
      </c>
      <c r="B10" s="380"/>
      <c r="C10" s="380"/>
      <c r="D10" s="380"/>
      <c r="E10" s="380"/>
      <c r="F10" s="380"/>
      <c r="G10" s="380"/>
      <c r="H10" s="380"/>
      <c r="I10" s="45" t="s">
        <v>280</v>
      </c>
      <c r="J10" s="195" t="s">
        <v>48</v>
      </c>
      <c r="K10" s="48" t="s">
        <v>48</v>
      </c>
    </row>
    <row r="11" spans="1:11" ht="15">
      <c r="A11" s="239" t="s">
        <v>163</v>
      </c>
      <c r="B11" s="380"/>
      <c r="C11" s="380"/>
      <c r="D11" s="380"/>
      <c r="E11" s="380"/>
      <c r="F11" s="380"/>
      <c r="G11" s="380"/>
      <c r="H11" s="380"/>
      <c r="I11" s="45" t="s">
        <v>280</v>
      </c>
      <c r="J11" s="195" t="s">
        <v>48</v>
      </c>
      <c r="K11" s="48" t="s">
        <v>48</v>
      </c>
    </row>
    <row r="12" spans="1:11" ht="15">
      <c r="A12" s="239" t="s">
        <v>124</v>
      </c>
      <c r="B12" s="380"/>
      <c r="C12" s="380"/>
      <c r="D12" s="380"/>
      <c r="E12" s="380"/>
      <c r="F12" s="380"/>
      <c r="G12" s="380"/>
      <c r="H12" s="380"/>
      <c r="I12" s="45" t="s">
        <v>280</v>
      </c>
      <c r="J12" s="195" t="s">
        <v>48</v>
      </c>
      <c r="K12" s="48" t="s">
        <v>48</v>
      </c>
    </row>
    <row r="13" spans="1:11" ht="15">
      <c r="A13" s="239" t="s">
        <v>164</v>
      </c>
      <c r="B13" s="380"/>
      <c r="C13" s="380"/>
      <c r="D13" s="380"/>
      <c r="E13" s="380"/>
      <c r="F13" s="380"/>
      <c r="G13" s="380"/>
      <c r="H13" s="380"/>
      <c r="I13" s="45" t="s">
        <v>280</v>
      </c>
      <c r="J13" s="195" t="s">
        <v>48</v>
      </c>
      <c r="K13" s="48" t="s">
        <v>48</v>
      </c>
    </row>
    <row r="14" spans="1:11" ht="15">
      <c r="A14" s="239" t="s">
        <v>165</v>
      </c>
      <c r="B14" s="380">
        <v>43</v>
      </c>
      <c r="C14" s="380">
        <v>42</v>
      </c>
      <c r="D14" s="380">
        <v>40</v>
      </c>
      <c r="E14" s="380">
        <v>50</v>
      </c>
      <c r="F14" s="380">
        <v>39</v>
      </c>
      <c r="G14" s="380">
        <v>41.5</v>
      </c>
      <c r="H14" s="380">
        <v>36</v>
      </c>
      <c r="I14" s="45">
        <f>AVERAGE(B14:H14)</f>
        <v>41.642857142857146</v>
      </c>
      <c r="J14" s="195">
        <f t="shared" si="0"/>
        <v>40.155503309729561</v>
      </c>
      <c r="K14" s="48">
        <f t="shared" si="1"/>
        <v>3</v>
      </c>
    </row>
    <row r="15" spans="1:11" s="146" customFormat="1" ht="15">
      <c r="A15" s="239" t="s">
        <v>166</v>
      </c>
      <c r="B15" s="382" t="s">
        <v>48</v>
      </c>
      <c r="C15" s="382">
        <v>39</v>
      </c>
      <c r="D15" s="382" t="s">
        <v>48</v>
      </c>
      <c r="E15" s="382">
        <v>50</v>
      </c>
      <c r="F15" s="382">
        <v>39</v>
      </c>
      <c r="G15" s="382">
        <v>45.5</v>
      </c>
      <c r="H15" s="382" t="s">
        <v>48</v>
      </c>
      <c r="I15" s="45">
        <f>AVERAGE(B15:H15)</f>
        <v>43.375</v>
      </c>
      <c r="J15" s="195">
        <f t="shared" si="0"/>
        <v>50</v>
      </c>
      <c r="K15" s="48">
        <f t="shared" si="1"/>
        <v>1</v>
      </c>
    </row>
    <row r="16" spans="1:11" ht="15">
      <c r="A16" s="239" t="s">
        <v>167</v>
      </c>
      <c r="B16" s="382">
        <v>41</v>
      </c>
      <c r="C16" s="382" t="s">
        <v>48</v>
      </c>
      <c r="D16" s="382">
        <v>39</v>
      </c>
      <c r="E16" s="382">
        <v>46.5</v>
      </c>
      <c r="F16" s="382">
        <v>43</v>
      </c>
      <c r="G16" s="382">
        <v>44</v>
      </c>
      <c r="H16" s="382">
        <v>46</v>
      </c>
      <c r="I16" s="45">
        <f>AVERAGE(B16:H16)</f>
        <v>43.25</v>
      </c>
      <c r="J16" s="195">
        <f t="shared" si="0"/>
        <v>49.276142770596309</v>
      </c>
      <c r="K16" s="48">
        <f t="shared" si="1"/>
        <v>2</v>
      </c>
    </row>
    <row r="17" spans="2:11">
      <c r="B17" s="181"/>
      <c r="C17" s="181"/>
      <c r="D17" s="42"/>
      <c r="E17" s="42"/>
      <c r="F17" s="42"/>
      <c r="G17" s="42"/>
      <c r="H17" s="42"/>
      <c r="I17" s="42"/>
      <c r="J17" s="42"/>
      <c r="K17" s="42"/>
    </row>
    <row r="20" spans="2:11">
      <c r="B20" s="175" t="s">
        <v>48</v>
      </c>
    </row>
    <row r="29" spans="2:11">
      <c r="B29" s="182"/>
      <c r="C29" s="182"/>
    </row>
    <row r="37" spans="2:3">
      <c r="B37" s="182"/>
      <c r="C37" s="182"/>
    </row>
  </sheetData>
  <phoneticPr fontId="18" type="noConversion"/>
  <printOptions gridLines="1"/>
  <pageMargins left="0.75" right="0.75" top="1" bottom="1" header="0.5" footer="0.5"/>
  <pageSetup scale="72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workbookViewId="0"/>
  </sheetViews>
  <sheetFormatPr defaultRowHeight="12.75"/>
  <cols>
    <col min="1" max="1" width="39.7109375" customWidth="1"/>
    <col min="2" max="2" width="10.5703125" customWidth="1"/>
    <col min="3" max="3" width="13.85546875" bestFit="1" customWidth="1"/>
    <col min="4" max="4" width="10.140625" customWidth="1"/>
    <col min="5" max="5" width="12.42578125" customWidth="1"/>
    <col min="7" max="7" width="10.85546875" customWidth="1"/>
    <col min="8" max="8" width="9.140625" style="3"/>
    <col min="9" max="9" width="41.85546875" customWidth="1"/>
  </cols>
  <sheetData>
    <row r="1" spans="1:16" ht="45">
      <c r="A1" s="7" t="s">
        <v>204</v>
      </c>
      <c r="E1" s="215"/>
      <c r="F1" s="215"/>
    </row>
    <row r="2" spans="1:16" ht="18.75">
      <c r="A2" s="7"/>
      <c r="B2" s="7"/>
      <c r="C2" s="7"/>
      <c r="D2" s="6" t="s">
        <v>0</v>
      </c>
      <c r="E2" s="132">
        <f>MAX(C7:C19)</f>
        <v>5.9</v>
      </c>
      <c r="F2" s="6" t="s">
        <v>11</v>
      </c>
      <c r="G2" s="64" t="s">
        <v>29</v>
      </c>
      <c r="I2" s="65"/>
    </row>
    <row r="3" spans="1:16">
      <c r="A3" s="6"/>
      <c r="B3" s="6"/>
      <c r="C3" s="6"/>
      <c r="D3" s="6" t="s">
        <v>1</v>
      </c>
      <c r="E3" s="132">
        <f>MIN(C7:C19)</f>
        <v>4.62</v>
      </c>
      <c r="F3" s="6" t="s">
        <v>11</v>
      </c>
      <c r="G3" s="64" t="s">
        <v>30</v>
      </c>
      <c r="I3" s="65"/>
    </row>
    <row r="4" spans="1:16">
      <c r="A4" s="10"/>
      <c r="B4" s="10"/>
      <c r="C4" s="10"/>
      <c r="D4" s="6" t="s">
        <v>13</v>
      </c>
      <c r="E4" s="317">
        <v>100</v>
      </c>
      <c r="F4" s="6" t="s">
        <v>12</v>
      </c>
      <c r="G4" s="64" t="s">
        <v>31</v>
      </c>
      <c r="I4" s="65"/>
    </row>
    <row r="5" spans="1:16">
      <c r="A5" s="12"/>
      <c r="B5" s="12"/>
      <c r="C5" s="12"/>
      <c r="D5" s="12"/>
      <c r="E5" s="6"/>
      <c r="F5" s="6"/>
      <c r="H5" s="18"/>
      <c r="I5" s="66"/>
      <c r="J5" s="66"/>
    </row>
    <row r="6" spans="1:16" ht="38.25">
      <c r="A6" s="11"/>
      <c r="B6" s="39" t="s">
        <v>42</v>
      </c>
      <c r="C6" s="39" t="s">
        <v>54</v>
      </c>
      <c r="D6" s="39" t="s">
        <v>10</v>
      </c>
      <c r="E6" s="36" t="s">
        <v>9</v>
      </c>
      <c r="F6" s="36" t="s">
        <v>28</v>
      </c>
      <c r="G6" s="166" t="s">
        <v>71</v>
      </c>
      <c r="J6" s="36"/>
      <c r="L6" s="165" t="s">
        <v>48</v>
      </c>
    </row>
    <row r="7" spans="1:16" ht="15">
      <c r="A7" s="239" t="s">
        <v>120</v>
      </c>
      <c r="B7" s="303" t="s">
        <v>277</v>
      </c>
      <c r="C7" s="375" t="s">
        <v>48</v>
      </c>
      <c r="D7" s="313" t="s">
        <v>48</v>
      </c>
      <c r="E7" s="17" t="s">
        <v>48</v>
      </c>
      <c r="F7" s="304" t="s">
        <v>48</v>
      </c>
      <c r="G7" s="374">
        <v>100</v>
      </c>
      <c r="H7" s="304" t="s">
        <v>279</v>
      </c>
      <c r="I7" s="136" t="s">
        <v>296</v>
      </c>
      <c r="J7" s="6"/>
      <c r="L7" s="55" t="s">
        <v>48</v>
      </c>
      <c r="M7" s="68"/>
      <c r="N7" s="68"/>
      <c r="O7" s="68"/>
      <c r="P7" s="68"/>
    </row>
    <row r="8" spans="1:16" ht="15">
      <c r="A8" s="239" t="s">
        <v>121</v>
      </c>
      <c r="B8" s="303" t="s">
        <v>277</v>
      </c>
      <c r="C8" s="375" t="s">
        <v>48</v>
      </c>
      <c r="D8" s="313" t="s">
        <v>48</v>
      </c>
      <c r="E8" s="17" t="s">
        <v>48</v>
      </c>
      <c r="F8" s="304" t="s">
        <v>48</v>
      </c>
      <c r="G8" s="374">
        <v>0</v>
      </c>
      <c r="H8" s="304" t="s">
        <v>280</v>
      </c>
      <c r="I8" s="136"/>
      <c r="J8" s="6"/>
      <c r="L8" s="55"/>
      <c r="M8" s="68"/>
      <c r="N8" s="68"/>
      <c r="O8" s="68"/>
      <c r="P8" s="68"/>
    </row>
    <row r="9" spans="1:16" ht="15">
      <c r="A9" s="239" t="s">
        <v>122</v>
      </c>
      <c r="B9" s="303" t="s">
        <v>277</v>
      </c>
      <c r="C9" s="375">
        <v>5.9</v>
      </c>
      <c r="D9" s="184">
        <f t="shared" ref="D9:D17" si="0">$E$4/C9</f>
        <v>16.949152542372879</v>
      </c>
      <c r="E9" s="17">
        <f t="shared" ref="E9:E17" si="1">100+(((($E$2/C9)^2-1)/(($E$2/$E$3)^2-1))*100)</f>
        <v>100</v>
      </c>
      <c r="F9" s="175">
        <f t="shared" ref="F9:F17" si="2">RANK($E9,$E$7:$E$19)</f>
        <v>3</v>
      </c>
      <c r="G9" s="374">
        <v>100</v>
      </c>
      <c r="I9" s="136"/>
      <c r="J9" s="6"/>
      <c r="L9" s="55"/>
      <c r="M9" s="68"/>
      <c r="N9" s="68"/>
      <c r="O9" s="68"/>
      <c r="P9" s="68"/>
    </row>
    <row r="10" spans="1:16" s="243" customFormat="1" ht="15">
      <c r="A10" s="287" t="s">
        <v>160</v>
      </c>
      <c r="B10" s="303" t="s">
        <v>278</v>
      </c>
      <c r="C10" s="375" t="s">
        <v>48</v>
      </c>
      <c r="D10" s="313" t="s">
        <v>48</v>
      </c>
      <c r="E10" s="17" t="s">
        <v>48</v>
      </c>
      <c r="F10" s="304" t="s">
        <v>48</v>
      </c>
      <c r="G10" s="374">
        <v>89</v>
      </c>
      <c r="H10" s="304" t="s">
        <v>280</v>
      </c>
      <c r="I10" s="244"/>
      <c r="J10" s="255"/>
      <c r="L10" s="249"/>
    </row>
    <row r="11" spans="1:16" s="243" customFormat="1" ht="15">
      <c r="A11" s="287" t="s">
        <v>161</v>
      </c>
      <c r="B11" s="303" t="s">
        <v>277</v>
      </c>
      <c r="C11" s="375" t="s">
        <v>48</v>
      </c>
      <c r="D11" s="313" t="s">
        <v>48</v>
      </c>
      <c r="E11" s="17" t="s">
        <v>48</v>
      </c>
      <c r="F11" s="304" t="s">
        <v>48</v>
      </c>
      <c r="G11" s="374">
        <v>40</v>
      </c>
      <c r="H11" s="304" t="s">
        <v>280</v>
      </c>
      <c r="I11" s="244"/>
      <c r="J11" s="255"/>
      <c r="L11" s="249" t="s">
        <v>48</v>
      </c>
    </row>
    <row r="12" spans="1:16" ht="15">
      <c r="A12" s="239" t="s">
        <v>162</v>
      </c>
      <c r="B12" s="303" t="s">
        <v>277</v>
      </c>
      <c r="C12" s="375" t="s">
        <v>48</v>
      </c>
      <c r="D12" s="313" t="s">
        <v>48</v>
      </c>
      <c r="E12" s="17" t="s">
        <v>48</v>
      </c>
      <c r="F12" s="304" t="s">
        <v>48</v>
      </c>
      <c r="G12" s="374">
        <v>0</v>
      </c>
      <c r="H12" s="304" t="s">
        <v>280</v>
      </c>
      <c r="I12" s="136"/>
      <c r="J12" s="6"/>
      <c r="L12" s="55"/>
      <c r="M12" s="68"/>
      <c r="N12" s="68"/>
      <c r="O12" s="68"/>
      <c r="P12" s="68"/>
    </row>
    <row r="13" spans="1:16" ht="15" customHeight="1">
      <c r="A13" s="239" t="s">
        <v>123</v>
      </c>
      <c r="B13" s="303" t="s">
        <v>277</v>
      </c>
      <c r="C13" s="375">
        <v>5.88</v>
      </c>
      <c r="D13" s="184">
        <f t="shared" si="0"/>
        <v>17.006802721088437</v>
      </c>
      <c r="E13" s="17">
        <f t="shared" si="1"/>
        <v>101.08013708097312</v>
      </c>
      <c r="F13" s="175">
        <f t="shared" si="2"/>
        <v>2</v>
      </c>
      <c r="G13" s="374">
        <v>100</v>
      </c>
      <c r="H13" s="304" t="s">
        <v>48</v>
      </c>
      <c r="I13" s="136"/>
      <c r="J13" s="6"/>
      <c r="L13" s="55" t="s">
        <v>48</v>
      </c>
      <c r="M13" s="68"/>
      <c r="N13" s="68"/>
      <c r="O13" s="68"/>
      <c r="P13" s="68"/>
    </row>
    <row r="14" spans="1:16" ht="15">
      <c r="A14" s="239" t="s">
        <v>163</v>
      </c>
      <c r="B14" s="303" t="s">
        <v>277</v>
      </c>
      <c r="C14" s="375" t="s">
        <v>48</v>
      </c>
      <c r="D14" s="313" t="s">
        <v>48</v>
      </c>
      <c r="E14" s="17" t="s">
        <v>48</v>
      </c>
      <c r="F14" s="304" t="s">
        <v>48</v>
      </c>
      <c r="G14" s="374">
        <v>0</v>
      </c>
      <c r="H14" s="304" t="s">
        <v>280</v>
      </c>
      <c r="I14" s="136"/>
      <c r="J14" s="6"/>
      <c r="M14" s="68"/>
      <c r="N14" s="68"/>
      <c r="O14" s="68"/>
      <c r="P14" s="68"/>
    </row>
    <row r="15" spans="1:16" ht="15">
      <c r="A15" s="239" t="s">
        <v>124</v>
      </c>
      <c r="B15" s="303" t="s">
        <v>277</v>
      </c>
      <c r="C15" s="375" t="s">
        <v>48</v>
      </c>
      <c r="D15" s="313" t="s">
        <v>48</v>
      </c>
      <c r="E15" s="17" t="s">
        <v>48</v>
      </c>
      <c r="F15" s="304" t="s">
        <v>48</v>
      </c>
      <c r="G15" s="374">
        <v>0</v>
      </c>
      <c r="H15" s="304" t="s">
        <v>280</v>
      </c>
      <c r="I15" s="136"/>
      <c r="J15" s="6"/>
      <c r="M15" s="68"/>
      <c r="N15" s="68"/>
      <c r="O15" s="68"/>
      <c r="P15" s="68"/>
    </row>
    <row r="16" spans="1:16" s="171" customFormat="1" ht="15">
      <c r="A16" s="239" t="s">
        <v>164</v>
      </c>
      <c r="B16" s="303" t="s">
        <v>277</v>
      </c>
      <c r="C16" s="375" t="s">
        <v>48</v>
      </c>
      <c r="D16" s="313" t="s">
        <v>48</v>
      </c>
      <c r="E16" s="17" t="s">
        <v>48</v>
      </c>
      <c r="F16" s="304" t="s">
        <v>48</v>
      </c>
      <c r="G16" s="374">
        <v>0</v>
      </c>
      <c r="H16" s="304" t="s">
        <v>280</v>
      </c>
      <c r="I16" s="136"/>
      <c r="J16" s="174"/>
    </row>
    <row r="17" spans="1:9" ht="15">
      <c r="A17" s="239" t="s">
        <v>165</v>
      </c>
      <c r="B17" s="303" t="s">
        <v>277</v>
      </c>
      <c r="C17" s="375">
        <v>4.62</v>
      </c>
      <c r="D17" s="184">
        <f t="shared" si="0"/>
        <v>21.645021645021643</v>
      </c>
      <c r="E17" s="17">
        <f t="shared" si="1"/>
        <v>200</v>
      </c>
      <c r="F17" s="175">
        <f t="shared" si="2"/>
        <v>1</v>
      </c>
      <c r="G17" s="374">
        <v>100</v>
      </c>
      <c r="H17" s="304" t="s">
        <v>48</v>
      </c>
      <c r="I17" s="136"/>
    </row>
    <row r="18" spans="1:9" ht="15">
      <c r="A18" s="239" t="s">
        <v>166</v>
      </c>
      <c r="B18" s="303" t="s">
        <v>277</v>
      </c>
      <c r="C18" s="375" t="s">
        <v>48</v>
      </c>
      <c r="D18" s="313" t="s">
        <v>48</v>
      </c>
      <c r="E18" s="17" t="s">
        <v>48</v>
      </c>
      <c r="F18" s="304" t="s">
        <v>48</v>
      </c>
      <c r="G18" s="374">
        <v>40</v>
      </c>
      <c r="H18" s="304" t="s">
        <v>280</v>
      </c>
      <c r="I18" s="136"/>
    </row>
    <row r="19" spans="1:9" ht="15">
      <c r="A19" s="239" t="s">
        <v>167</v>
      </c>
      <c r="B19" s="303" t="s">
        <v>277</v>
      </c>
      <c r="C19" s="375" t="s">
        <v>48</v>
      </c>
      <c r="D19" s="313" t="s">
        <v>48</v>
      </c>
      <c r="E19" s="17" t="s">
        <v>48</v>
      </c>
      <c r="F19" s="304" t="s">
        <v>48</v>
      </c>
      <c r="G19" s="374">
        <v>0</v>
      </c>
      <c r="H19" s="304" t="s">
        <v>280</v>
      </c>
      <c r="I19" s="136"/>
    </row>
    <row r="20" spans="1:9">
      <c r="A20" s="6"/>
      <c r="B20" s="6"/>
      <c r="C20" s="6"/>
      <c r="D20" s="6"/>
      <c r="E20" s="6"/>
      <c r="F20" s="6"/>
      <c r="G20" s="255"/>
      <c r="H20" s="18"/>
    </row>
    <row r="21" spans="1:9">
      <c r="D21" s="6"/>
    </row>
  </sheetData>
  <phoneticPr fontId="18" type="noConversion"/>
  <printOptions gridLines="1"/>
  <pageMargins left="0.75" right="0.75" top="1" bottom="1" header="0.5" footer="0.5"/>
  <pageSetup scale="6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1"/>
  <sheetViews>
    <sheetView workbookViewId="0"/>
  </sheetViews>
  <sheetFormatPr defaultRowHeight="12.75"/>
  <cols>
    <col min="1" max="1" width="40.85546875" customWidth="1"/>
    <col min="2" max="2" width="11" customWidth="1"/>
    <col min="3" max="3" width="21.42578125" style="68" customWidth="1"/>
    <col min="4" max="4" width="14.140625" customWidth="1"/>
    <col min="5" max="5" width="21" customWidth="1"/>
    <col min="6" max="8" width="16.85546875" customWidth="1"/>
    <col min="9" max="9" width="11.42578125" customWidth="1"/>
    <col min="10" max="10" width="12.28515625" customWidth="1"/>
    <col min="11" max="11" width="10.42578125" customWidth="1"/>
    <col min="12" max="12" width="13.7109375" customWidth="1"/>
    <col min="13" max="13" width="13.28515625" customWidth="1"/>
    <col min="14" max="14" width="12.28515625" customWidth="1"/>
    <col min="15" max="15" width="14.28515625" customWidth="1"/>
    <col min="16" max="16" width="12.7109375" customWidth="1"/>
    <col min="17" max="17" width="12.42578125" customWidth="1"/>
    <col min="18" max="18" width="11" customWidth="1"/>
  </cols>
  <sheetData>
    <row r="1" spans="1:17" ht="18.75">
      <c r="A1" s="7" t="s">
        <v>205</v>
      </c>
      <c r="B1" s="162"/>
      <c r="C1" s="38"/>
      <c r="D1" s="9"/>
      <c r="E1" s="6" t="s">
        <v>48</v>
      </c>
      <c r="F1" s="19"/>
      <c r="G1" s="314" t="s">
        <v>294</v>
      </c>
      <c r="H1" s="54"/>
      <c r="I1" s="9"/>
      <c r="J1" s="6"/>
      <c r="K1" s="6"/>
      <c r="L1" s="6"/>
      <c r="M1" s="6"/>
      <c r="N1" s="6"/>
      <c r="O1" s="6"/>
      <c r="P1" s="6"/>
      <c r="Q1" s="6"/>
    </row>
    <row r="2" spans="1:17" s="68" customFormat="1">
      <c r="A2" s="38"/>
      <c r="B2" s="186" t="s">
        <v>93</v>
      </c>
      <c r="C2" s="17">
        <f>MIN(B5:B17)</f>
        <v>72</v>
      </c>
      <c r="D2" s="412" t="s">
        <v>292</v>
      </c>
      <c r="E2" s="9" t="s">
        <v>48</v>
      </c>
      <c r="F2" s="19"/>
      <c r="G2" s="314" t="s">
        <v>295</v>
      </c>
      <c r="H2" s="61"/>
      <c r="I2" s="69"/>
      <c r="J2" s="38"/>
      <c r="K2" s="38"/>
      <c r="L2" s="38"/>
      <c r="M2" s="38"/>
      <c r="N2" s="38"/>
      <c r="O2" s="38"/>
      <c r="P2" s="38"/>
      <c r="Q2" s="38"/>
    </row>
    <row r="3" spans="1:17">
      <c r="A3" s="10"/>
      <c r="B3" s="163" t="s">
        <v>88</v>
      </c>
      <c r="C3" s="187">
        <v>80</v>
      </c>
      <c r="D3" s="57" t="s">
        <v>293</v>
      </c>
      <c r="E3" s="57" t="s">
        <v>94</v>
      </c>
      <c r="F3" s="57" t="s">
        <v>39</v>
      </c>
      <c r="G3" s="57" t="s">
        <v>96</v>
      </c>
      <c r="H3" s="57" t="s">
        <v>97</v>
      </c>
      <c r="I3" s="12"/>
      <c r="J3" s="6"/>
      <c r="K3" s="6"/>
      <c r="L3" s="6"/>
      <c r="M3" s="6"/>
      <c r="N3" s="6"/>
      <c r="O3" s="6"/>
      <c r="P3" s="6"/>
      <c r="Q3" s="6"/>
    </row>
    <row r="4" spans="1:17">
      <c r="A4" s="6"/>
      <c r="B4" s="127" t="s">
        <v>55</v>
      </c>
      <c r="C4" s="57" t="s">
        <v>91</v>
      </c>
      <c r="D4" s="23" t="s">
        <v>92</v>
      </c>
      <c r="E4" s="23" t="s">
        <v>56</v>
      </c>
      <c r="F4" s="442" t="s">
        <v>101</v>
      </c>
      <c r="G4" s="23" t="s">
        <v>9</v>
      </c>
      <c r="H4" s="23" t="s">
        <v>56</v>
      </c>
      <c r="I4" s="23" t="s">
        <v>28</v>
      </c>
      <c r="J4" s="23"/>
      <c r="K4" s="20"/>
      <c r="L4" s="20"/>
      <c r="M4" s="5"/>
      <c r="N4" s="5"/>
      <c r="O4" s="5"/>
      <c r="P4" s="5"/>
      <c r="Q4" s="2"/>
    </row>
    <row r="5" spans="1:17" ht="15">
      <c r="A5" s="239" t="s">
        <v>120</v>
      </c>
      <c r="B5" s="385">
        <v>77</v>
      </c>
      <c r="C5" s="288">
        <f>IF(B5&lt;=80,75)</f>
        <v>75</v>
      </c>
      <c r="D5" s="311">
        <f>IF(B5&gt;80, 0,((($C$3/B5)^2-1)/(($C$3/$C$2)^2-1))*75)</f>
        <v>25.399907679470108</v>
      </c>
      <c r="E5" s="17">
        <f>C5+D5</f>
        <v>100.3999076794701</v>
      </c>
      <c r="F5" s="428">
        <v>2.9</v>
      </c>
      <c r="G5" s="59">
        <f>150*((F5/$F$19)^2-1)/(($F$18/$F$19)^2-1)</f>
        <v>77.732793522267244</v>
      </c>
      <c r="H5" s="59">
        <f>E5+G5</f>
        <v>178.13270120173735</v>
      </c>
      <c r="I5" s="57">
        <f t="shared" ref="I5:I15" si="0">RANK(H5,$H$5:$H$17)</f>
        <v>3</v>
      </c>
      <c r="J5" s="58"/>
      <c r="K5" s="60"/>
      <c r="L5" s="30"/>
      <c r="M5" s="18"/>
      <c r="N5" s="59"/>
      <c r="O5" s="18"/>
      <c r="P5" s="18"/>
      <c r="Q5" s="3"/>
    </row>
    <row r="6" spans="1:17" ht="15">
      <c r="A6" s="239" t="s">
        <v>121</v>
      </c>
      <c r="B6" s="385" t="s">
        <v>280</v>
      </c>
      <c r="C6" s="288" t="b">
        <f t="shared" ref="C6:C17" si="1">IF(B6&lt;=80,75)</f>
        <v>0</v>
      </c>
      <c r="D6" s="311">
        <f t="shared" ref="D6:D17" si="2">IF(B6&gt;80, 0,((($C$3/B6)^2-1)/(($C$3/$C$2)^2-1))*75)</f>
        <v>0</v>
      </c>
      <c r="E6" s="17">
        <f t="shared" ref="E6:E17" si="3">C6+D6</f>
        <v>0</v>
      </c>
      <c r="F6" s="428"/>
      <c r="G6" s="59"/>
      <c r="H6" s="59"/>
      <c r="I6" s="57"/>
      <c r="J6" s="58"/>
      <c r="K6" s="60"/>
      <c r="L6" s="30"/>
      <c r="M6" s="18"/>
      <c r="N6" s="59"/>
      <c r="O6" s="18"/>
      <c r="P6" s="18"/>
      <c r="Q6" s="3"/>
    </row>
    <row r="7" spans="1:17" ht="15">
      <c r="A7" s="239" t="s">
        <v>122</v>
      </c>
      <c r="B7" s="385">
        <v>80</v>
      </c>
      <c r="C7" s="288">
        <f t="shared" si="1"/>
        <v>75</v>
      </c>
      <c r="D7" s="311">
        <f t="shared" si="2"/>
        <v>0</v>
      </c>
      <c r="E7" s="17">
        <f t="shared" si="3"/>
        <v>75</v>
      </c>
      <c r="F7" s="428">
        <v>3.5</v>
      </c>
      <c r="G7" s="59">
        <f t="shared" ref="G7:G15" si="4">150*((F7/$F$19)^2-1)/(($F$18/$F$19)^2-1)</f>
        <v>0</v>
      </c>
      <c r="H7" s="59">
        <f t="shared" ref="H7:H15" si="5">E7+G7</f>
        <v>75</v>
      </c>
      <c r="I7" s="57">
        <f t="shared" si="0"/>
        <v>4</v>
      </c>
      <c r="J7" s="58"/>
      <c r="K7" s="60"/>
      <c r="L7" s="30"/>
      <c r="M7" s="18"/>
      <c r="N7" s="59"/>
      <c r="O7" s="18"/>
      <c r="P7" s="18"/>
      <c r="Q7" s="3"/>
    </row>
    <row r="8" spans="1:17" s="183" customFormat="1" ht="15">
      <c r="A8" s="287" t="s">
        <v>160</v>
      </c>
      <c r="B8" s="385">
        <v>72</v>
      </c>
      <c r="C8" s="288">
        <f t="shared" si="1"/>
        <v>75</v>
      </c>
      <c r="D8" s="311">
        <f t="shared" si="2"/>
        <v>75</v>
      </c>
      <c r="E8" s="17">
        <f t="shared" si="3"/>
        <v>150</v>
      </c>
      <c r="F8" s="428">
        <v>2.5</v>
      </c>
      <c r="G8" s="59">
        <f t="shared" si="4"/>
        <v>121.45748987854252</v>
      </c>
      <c r="H8" s="59">
        <f t="shared" si="5"/>
        <v>271.4574898785425</v>
      </c>
      <c r="I8" s="57">
        <f t="shared" si="0"/>
        <v>2</v>
      </c>
      <c r="J8" s="337"/>
      <c r="K8" s="338"/>
      <c r="L8" s="323"/>
      <c r="M8" s="339"/>
      <c r="N8" s="59"/>
      <c r="O8" s="339"/>
      <c r="P8" s="339"/>
      <c r="Q8" s="304"/>
    </row>
    <row r="9" spans="1:17" s="183" customFormat="1" ht="15">
      <c r="A9" s="287" t="s">
        <v>161</v>
      </c>
      <c r="B9" s="385">
        <v>87</v>
      </c>
      <c r="C9" s="288" t="b">
        <f t="shared" si="1"/>
        <v>0</v>
      </c>
      <c r="D9" s="311">
        <f t="shared" si="2"/>
        <v>0</v>
      </c>
      <c r="E9" s="17">
        <f t="shared" si="3"/>
        <v>0</v>
      </c>
      <c r="F9" s="428"/>
      <c r="G9" s="59"/>
      <c r="H9" s="59"/>
      <c r="I9" s="57"/>
      <c r="J9" s="337"/>
      <c r="K9" s="338"/>
      <c r="L9" s="323"/>
      <c r="M9" s="339"/>
      <c r="N9" s="59"/>
      <c r="O9" s="339"/>
      <c r="P9" s="339"/>
      <c r="Q9" s="304"/>
    </row>
    <row r="10" spans="1:17" ht="15">
      <c r="A10" s="239" t="s">
        <v>162</v>
      </c>
      <c r="B10" s="385" t="s">
        <v>280</v>
      </c>
      <c r="C10" s="288" t="b">
        <f t="shared" si="1"/>
        <v>0</v>
      </c>
      <c r="D10" s="311">
        <f t="shared" si="2"/>
        <v>0</v>
      </c>
      <c r="E10" s="17">
        <f t="shared" si="3"/>
        <v>0</v>
      </c>
      <c r="F10" s="428"/>
      <c r="G10" s="59"/>
      <c r="H10" s="59"/>
      <c r="I10" s="57"/>
      <c r="J10" s="58"/>
      <c r="K10" s="60"/>
      <c r="L10" s="30"/>
      <c r="O10" s="18"/>
      <c r="P10" s="18"/>
      <c r="Q10" s="3"/>
    </row>
    <row r="11" spans="1:17" ht="15">
      <c r="A11" s="239" t="s">
        <v>123</v>
      </c>
      <c r="B11" s="385">
        <v>83</v>
      </c>
      <c r="C11" s="288" t="b">
        <f t="shared" si="1"/>
        <v>0</v>
      </c>
      <c r="D11" s="311">
        <f t="shared" si="2"/>
        <v>0</v>
      </c>
      <c r="E11" s="17">
        <f t="shared" si="3"/>
        <v>0</v>
      </c>
      <c r="F11" s="428"/>
      <c r="G11" s="59"/>
      <c r="H11" s="59"/>
      <c r="I11" s="57"/>
      <c r="J11" s="58"/>
      <c r="K11" s="60"/>
      <c r="L11" s="30"/>
      <c r="O11" s="18"/>
      <c r="P11" s="18"/>
      <c r="Q11" s="3"/>
    </row>
    <row r="12" spans="1:17" ht="15">
      <c r="A12" s="239" t="s">
        <v>163</v>
      </c>
      <c r="B12" s="385" t="s">
        <v>280</v>
      </c>
      <c r="C12" s="288" t="b">
        <f t="shared" si="1"/>
        <v>0</v>
      </c>
      <c r="D12" s="311">
        <f t="shared" si="2"/>
        <v>0</v>
      </c>
      <c r="E12" s="17">
        <f t="shared" si="3"/>
        <v>0</v>
      </c>
      <c r="F12" s="428"/>
      <c r="G12" s="59"/>
      <c r="H12" s="59"/>
      <c r="I12" s="57"/>
      <c r="J12" s="58"/>
      <c r="K12" s="60"/>
      <c r="L12" s="30"/>
      <c r="M12" s="18"/>
      <c r="N12" s="59"/>
      <c r="O12" s="18"/>
      <c r="P12" s="18"/>
      <c r="Q12" s="3"/>
    </row>
    <row r="13" spans="1:17" ht="15">
      <c r="A13" s="239" t="s">
        <v>124</v>
      </c>
      <c r="B13" s="385" t="s">
        <v>280</v>
      </c>
      <c r="C13" s="288" t="b">
        <f t="shared" si="1"/>
        <v>0</v>
      </c>
      <c r="D13" s="311">
        <f t="shared" si="2"/>
        <v>0</v>
      </c>
      <c r="E13" s="17">
        <f t="shared" si="3"/>
        <v>0</v>
      </c>
      <c r="F13" s="428"/>
      <c r="G13" s="59"/>
      <c r="H13" s="59">
        <f t="shared" si="5"/>
        <v>0</v>
      </c>
      <c r="I13" s="57"/>
      <c r="J13" s="58"/>
      <c r="K13" s="60"/>
      <c r="L13" s="30"/>
      <c r="M13" s="18"/>
      <c r="N13" s="59"/>
      <c r="O13" s="18"/>
      <c r="P13" s="18"/>
      <c r="Q13" s="3"/>
    </row>
    <row r="14" spans="1:17" s="146" customFormat="1" ht="15">
      <c r="A14" s="239" t="s">
        <v>164</v>
      </c>
      <c r="B14" s="385" t="s">
        <v>280</v>
      </c>
      <c r="C14" s="288" t="b">
        <f t="shared" si="1"/>
        <v>0</v>
      </c>
      <c r="D14" s="311">
        <f t="shared" si="2"/>
        <v>0</v>
      </c>
      <c r="E14" s="17">
        <f t="shared" si="3"/>
        <v>0</v>
      </c>
      <c r="F14" s="428"/>
      <c r="G14" s="59"/>
      <c r="H14" s="59"/>
      <c r="I14" s="57"/>
      <c r="J14" s="151"/>
      <c r="K14" s="152"/>
      <c r="L14" s="153"/>
      <c r="M14" s="147"/>
      <c r="N14" s="154"/>
      <c r="O14" s="147"/>
      <c r="P14" s="147"/>
      <c r="Q14" s="145"/>
    </row>
    <row r="15" spans="1:17" s="146" customFormat="1" ht="15">
      <c r="A15" s="239" t="s">
        <v>165</v>
      </c>
      <c r="B15" s="385">
        <v>73</v>
      </c>
      <c r="C15" s="288">
        <f t="shared" si="1"/>
        <v>75</v>
      </c>
      <c r="D15" s="311">
        <f t="shared" si="2"/>
        <v>64.259365339601487</v>
      </c>
      <c r="E15" s="17">
        <f t="shared" si="3"/>
        <v>139.25936533960149</v>
      </c>
      <c r="F15" s="428">
        <v>2.2000000000000002</v>
      </c>
      <c r="G15" s="59">
        <f t="shared" si="4"/>
        <v>150</v>
      </c>
      <c r="H15" s="59">
        <f t="shared" si="5"/>
        <v>289.25936533960146</v>
      </c>
      <c r="I15" s="57">
        <f t="shared" si="0"/>
        <v>1</v>
      </c>
      <c r="J15" s="167"/>
      <c r="K15" s="139"/>
      <c r="L15" s="139"/>
    </row>
    <row r="16" spans="1:17" ht="15">
      <c r="A16" s="239" t="s">
        <v>166</v>
      </c>
      <c r="B16" s="385">
        <v>85</v>
      </c>
      <c r="C16" s="288" t="b">
        <f t="shared" si="1"/>
        <v>0</v>
      </c>
      <c r="D16" s="311">
        <f t="shared" si="2"/>
        <v>0</v>
      </c>
      <c r="E16" s="17">
        <f t="shared" si="3"/>
        <v>0</v>
      </c>
      <c r="F16" s="428"/>
      <c r="G16" s="59"/>
      <c r="H16" s="59"/>
      <c r="I16" s="57"/>
      <c r="J16" s="4"/>
      <c r="K16" s="1"/>
      <c r="L16" s="1"/>
      <c r="M16" s="1"/>
    </row>
    <row r="17" spans="1:13" ht="15">
      <c r="A17" s="239" t="s">
        <v>167</v>
      </c>
      <c r="B17" s="385">
        <v>81</v>
      </c>
      <c r="C17" s="288" t="b">
        <f t="shared" si="1"/>
        <v>0</v>
      </c>
      <c r="D17" s="311">
        <f t="shared" si="2"/>
        <v>0</v>
      </c>
      <c r="E17" s="17">
        <f t="shared" si="3"/>
        <v>0</v>
      </c>
      <c r="F17" s="428"/>
      <c r="G17" s="59"/>
      <c r="H17" s="59"/>
      <c r="I17" s="57"/>
      <c r="J17" s="4"/>
      <c r="K17" s="1"/>
      <c r="L17" s="1"/>
      <c r="M17" s="1"/>
    </row>
    <row r="18" spans="1:13">
      <c r="B18" s="72"/>
      <c r="C18" s="72"/>
      <c r="D18" s="72"/>
      <c r="E18" s="72" t="s">
        <v>102</v>
      </c>
      <c r="F18" s="196">
        <f>MIN(F5:F17)</f>
        <v>2.2000000000000002</v>
      </c>
      <c r="G18" s="56"/>
      <c r="H18" s="56"/>
      <c r="I18" s="56"/>
      <c r="J18" s="4"/>
      <c r="K18" s="71"/>
      <c r="L18" s="73"/>
      <c r="M18" s="1"/>
    </row>
    <row r="19" spans="1:13">
      <c r="A19" s="74"/>
      <c r="B19" s="75"/>
      <c r="C19" s="76"/>
      <c r="D19" s="76"/>
      <c r="E19" s="76" t="s">
        <v>103</v>
      </c>
      <c r="F19" s="196">
        <f>MAX(F5:F17)</f>
        <v>3.5</v>
      </c>
      <c r="G19" s="76"/>
      <c r="H19" s="76"/>
      <c r="I19" s="77"/>
      <c r="J19" s="4"/>
      <c r="K19" s="1"/>
      <c r="L19" s="1"/>
      <c r="M19" s="1"/>
    </row>
    <row r="20" spans="1:13">
      <c r="A20" s="74"/>
      <c r="B20" s="75"/>
      <c r="C20" s="76"/>
      <c r="D20" s="76"/>
      <c r="E20" s="76"/>
      <c r="F20" s="76"/>
      <c r="G20" s="76"/>
      <c r="H20" s="76"/>
      <c r="I20" s="77"/>
      <c r="J20" s="4"/>
      <c r="K20" s="1"/>
      <c r="L20" s="1"/>
      <c r="M20" s="1"/>
    </row>
    <row r="21" spans="1:13">
      <c r="A21" s="411" t="s">
        <v>291</v>
      </c>
      <c r="B21" s="75"/>
      <c r="C21" s="76"/>
      <c r="D21" s="76"/>
      <c r="E21" s="76"/>
      <c r="F21" s="76"/>
      <c r="G21" s="76"/>
      <c r="H21" s="76"/>
      <c r="I21" s="77"/>
      <c r="J21" s="4"/>
      <c r="K21" s="1"/>
      <c r="L21" s="1"/>
      <c r="M21" s="1"/>
    </row>
    <row r="22" spans="1:13">
      <c r="A22" s="74"/>
      <c r="B22" s="75"/>
      <c r="C22" s="76"/>
      <c r="D22" s="76"/>
      <c r="E22" s="76"/>
      <c r="F22" s="76"/>
      <c r="G22" s="76"/>
      <c r="H22" s="76"/>
      <c r="I22" s="77"/>
      <c r="J22" s="4"/>
      <c r="K22" s="1"/>
      <c r="L22" s="1"/>
      <c r="M22" s="1"/>
    </row>
    <row r="23" spans="1:13">
      <c r="A23" s="74"/>
      <c r="B23" s="75"/>
      <c r="C23" s="76"/>
      <c r="D23" s="76"/>
      <c r="E23" s="76"/>
      <c r="F23" s="76"/>
      <c r="G23" s="76"/>
      <c r="H23" s="76"/>
      <c r="I23" s="77"/>
      <c r="J23" s="4"/>
      <c r="K23" s="1"/>
      <c r="L23" s="1"/>
      <c r="M23" s="1"/>
    </row>
    <row r="24" spans="1:13">
      <c r="A24" s="74"/>
      <c r="B24" s="75"/>
      <c r="C24" s="76"/>
      <c r="D24" s="76"/>
      <c r="E24" s="76"/>
      <c r="F24" s="76"/>
      <c r="G24" s="76"/>
      <c r="H24" s="76"/>
      <c r="I24" s="77"/>
      <c r="J24" s="4"/>
      <c r="K24" s="1"/>
      <c r="L24" s="1"/>
      <c r="M24" s="1"/>
    </row>
    <row r="25" spans="1:13">
      <c r="A25" s="74"/>
      <c r="B25" s="75"/>
      <c r="C25" s="76"/>
      <c r="D25" s="76"/>
      <c r="E25" s="76"/>
      <c r="F25" s="76" t="s">
        <v>48</v>
      </c>
      <c r="G25" s="76"/>
      <c r="H25" s="76"/>
      <c r="I25" s="77"/>
      <c r="J25" s="4"/>
      <c r="K25" s="1"/>
      <c r="L25" s="1"/>
      <c r="M25" s="1"/>
    </row>
    <row r="26" spans="1:13">
      <c r="A26" s="74"/>
      <c r="B26" s="75"/>
      <c r="C26" s="76"/>
      <c r="D26" s="76"/>
      <c r="E26" s="76"/>
      <c r="F26" s="76"/>
      <c r="G26" s="76"/>
      <c r="H26" s="76"/>
      <c r="I26" s="77"/>
      <c r="J26" s="4"/>
      <c r="K26" s="1"/>
      <c r="L26" s="1"/>
      <c r="M26" s="1"/>
    </row>
    <row r="27" spans="1:13">
      <c r="A27" s="74"/>
      <c r="B27" s="75"/>
      <c r="C27" s="76"/>
      <c r="D27" s="76"/>
      <c r="E27" s="76"/>
      <c r="F27" s="76"/>
      <c r="G27" s="76"/>
      <c r="H27" s="76"/>
      <c r="I27" s="77"/>
      <c r="J27" s="4"/>
      <c r="K27" s="1"/>
      <c r="L27" s="1"/>
      <c r="M27" s="1"/>
    </row>
    <row r="28" spans="1:13">
      <c r="A28" s="74"/>
      <c r="B28" s="75"/>
      <c r="C28" s="76"/>
      <c r="D28" s="76"/>
      <c r="E28" s="76"/>
      <c r="F28" s="76"/>
      <c r="G28" s="76"/>
      <c r="H28" s="76"/>
      <c r="I28" s="77"/>
      <c r="J28" s="4"/>
      <c r="K28" s="1"/>
      <c r="L28" s="1"/>
      <c r="M28" s="1"/>
    </row>
    <row r="29" spans="1:13">
      <c r="A29" s="74"/>
      <c r="B29" s="75"/>
      <c r="C29" s="76"/>
      <c r="D29" s="76"/>
      <c r="E29" s="76"/>
      <c r="F29" s="76"/>
      <c r="G29" s="76"/>
      <c r="H29" s="76"/>
      <c r="I29" s="77"/>
      <c r="J29" s="4"/>
      <c r="K29" s="1"/>
      <c r="L29" s="1"/>
      <c r="M29" s="1"/>
    </row>
    <row r="30" spans="1:13">
      <c r="A30" s="74"/>
      <c r="B30" s="75"/>
      <c r="C30" s="76"/>
      <c r="D30" s="76"/>
      <c r="E30" s="76"/>
      <c r="F30" s="76"/>
      <c r="G30" s="76"/>
      <c r="H30" s="76"/>
      <c r="I30" s="77"/>
      <c r="J30" s="4"/>
      <c r="K30" s="1"/>
      <c r="L30" s="1"/>
      <c r="M30" s="1"/>
    </row>
    <row r="31" spans="1:13">
      <c r="A31" s="74"/>
      <c r="B31" s="75"/>
      <c r="C31" s="76"/>
      <c r="D31" s="76"/>
      <c r="E31" s="76"/>
      <c r="F31" s="76"/>
      <c r="G31" s="76"/>
      <c r="H31" s="76"/>
      <c r="I31" s="77"/>
      <c r="J31" s="4"/>
      <c r="K31" s="1"/>
      <c r="L31" s="1"/>
      <c r="M31" s="1"/>
    </row>
    <row r="32" spans="1:13">
      <c r="A32" s="74"/>
      <c r="B32" s="75"/>
      <c r="C32" s="76"/>
      <c r="D32" s="76"/>
      <c r="E32" s="76"/>
      <c r="F32" s="76"/>
      <c r="G32" s="76"/>
      <c r="H32" s="76"/>
      <c r="I32" s="77"/>
      <c r="J32" s="4"/>
      <c r="K32" s="1"/>
      <c r="L32" s="1"/>
      <c r="M32" s="1"/>
    </row>
    <row r="33" spans="1:13">
      <c r="A33" s="74"/>
      <c r="B33" s="75"/>
      <c r="C33" s="76"/>
      <c r="D33" s="76"/>
      <c r="E33" s="188"/>
      <c r="F33" s="76"/>
      <c r="G33" s="189"/>
      <c r="H33" s="189"/>
      <c r="I33" s="77"/>
      <c r="J33" s="4"/>
      <c r="K33" s="1"/>
      <c r="L33" s="1"/>
      <c r="M33" s="1"/>
    </row>
    <row r="34" spans="1:13">
      <c r="A34" s="74"/>
      <c r="B34" s="75"/>
      <c r="C34" s="76"/>
      <c r="D34" s="76"/>
      <c r="E34" s="76"/>
      <c r="F34" s="76"/>
      <c r="G34" s="76"/>
      <c r="H34" s="76"/>
      <c r="I34" s="77"/>
      <c r="J34" s="4"/>
      <c r="K34" s="1"/>
      <c r="L34" s="1"/>
      <c r="M34" s="1"/>
    </row>
    <row r="35" spans="1:13">
      <c r="A35" s="1"/>
      <c r="B35" s="1"/>
      <c r="C35" s="226"/>
      <c r="D35" s="1"/>
      <c r="E35" s="1"/>
      <c r="F35" s="1"/>
      <c r="G35" s="1"/>
      <c r="H35" s="1"/>
      <c r="I35" s="1"/>
      <c r="J35" s="4"/>
      <c r="K35" s="1"/>
      <c r="L35" s="1"/>
      <c r="M35" s="1"/>
    </row>
    <row r="36" spans="1:13">
      <c r="A36" s="1"/>
      <c r="B36" s="4"/>
      <c r="C36" s="227"/>
      <c r="D36" s="4"/>
      <c r="E36" s="4"/>
      <c r="F36" s="4"/>
      <c r="G36" s="4"/>
      <c r="H36" s="4"/>
      <c r="I36" s="4"/>
      <c r="J36" s="4"/>
      <c r="K36" s="1"/>
      <c r="L36" s="1"/>
      <c r="M36" s="1"/>
    </row>
    <row r="37" spans="1:13">
      <c r="B37" s="4"/>
      <c r="C37" s="227"/>
      <c r="D37" s="4"/>
      <c r="E37" s="4"/>
      <c r="F37" s="4"/>
      <c r="G37" s="4"/>
      <c r="H37" s="4"/>
      <c r="I37" s="4"/>
      <c r="J37" s="4"/>
    </row>
    <row r="38" spans="1:13">
      <c r="B38" s="4"/>
      <c r="C38" s="227"/>
      <c r="D38" s="4"/>
      <c r="E38" s="4"/>
      <c r="F38" s="4"/>
      <c r="G38" s="4"/>
      <c r="H38" s="4"/>
      <c r="I38" s="4"/>
      <c r="J38" s="4"/>
    </row>
    <row r="39" spans="1:13">
      <c r="B39" s="4"/>
      <c r="C39" s="227"/>
      <c r="D39" s="4"/>
      <c r="E39" s="4"/>
      <c r="F39" s="4"/>
      <c r="G39" s="4"/>
      <c r="H39" s="4"/>
      <c r="I39" s="4"/>
      <c r="J39" s="4"/>
    </row>
    <row r="40" spans="1:13">
      <c r="B40" s="4"/>
      <c r="C40" s="227"/>
      <c r="D40" s="4"/>
      <c r="E40" s="4"/>
      <c r="F40" s="4"/>
      <c r="G40" s="4"/>
      <c r="H40" s="4"/>
      <c r="I40" s="4"/>
      <c r="J40" s="4"/>
    </row>
    <row r="41" spans="1:13">
      <c r="B41" s="4"/>
      <c r="C41" s="227"/>
      <c r="D41" s="4"/>
      <c r="E41" s="4"/>
      <c r="F41" s="4"/>
      <c r="G41" s="4"/>
      <c r="H41" s="4"/>
      <c r="I41" s="4"/>
      <c r="J41" s="4"/>
    </row>
    <row r="42" spans="1:13">
      <c r="B42" s="4"/>
      <c r="C42" s="227"/>
      <c r="D42" s="4"/>
      <c r="E42" s="4"/>
      <c r="F42" s="4"/>
      <c r="G42" s="4"/>
      <c r="H42" s="4"/>
      <c r="I42" s="4"/>
      <c r="J42" s="4"/>
    </row>
    <row r="43" spans="1:13">
      <c r="B43" s="4"/>
      <c r="C43" s="227"/>
      <c r="D43" s="4"/>
      <c r="E43" s="4"/>
      <c r="F43" s="4"/>
      <c r="G43" s="4"/>
      <c r="H43" s="4"/>
      <c r="I43" s="4"/>
      <c r="J43" s="4"/>
    </row>
    <row r="44" spans="1:13">
      <c r="B44" s="4"/>
      <c r="C44" s="227"/>
      <c r="D44" s="4"/>
      <c r="E44" s="4"/>
      <c r="F44" s="4"/>
      <c r="G44" s="4"/>
      <c r="H44" s="4"/>
      <c r="I44" s="4"/>
      <c r="J44" s="4"/>
    </row>
    <row r="45" spans="1:13">
      <c r="B45" s="4"/>
      <c r="C45" s="227"/>
      <c r="D45" s="4"/>
      <c r="E45" s="4"/>
      <c r="F45" s="4"/>
      <c r="G45" s="4"/>
      <c r="H45" s="4"/>
      <c r="I45" s="4"/>
      <c r="J45" s="4"/>
    </row>
    <row r="46" spans="1:13">
      <c r="B46" s="4"/>
      <c r="C46" s="227"/>
      <c r="D46" s="4"/>
      <c r="E46" s="4"/>
      <c r="F46" s="4"/>
      <c r="G46" s="4"/>
      <c r="H46" s="4"/>
      <c r="I46" s="4"/>
      <c r="J46" s="4"/>
    </row>
    <row r="47" spans="1:13">
      <c r="B47" s="4"/>
      <c r="C47" s="227"/>
      <c r="D47" s="4"/>
      <c r="E47" s="4"/>
      <c r="F47" s="4"/>
      <c r="G47" s="4"/>
      <c r="H47" s="4"/>
      <c r="I47" s="4"/>
      <c r="J47" s="4"/>
    </row>
    <row r="48" spans="1:13">
      <c r="B48" s="4"/>
      <c r="C48" s="227"/>
      <c r="D48" s="4"/>
      <c r="E48" s="4"/>
      <c r="F48" s="4"/>
      <c r="G48" s="4"/>
      <c r="H48" s="4"/>
      <c r="I48" s="4"/>
      <c r="J48" s="4"/>
    </row>
    <row r="49" spans="2:10">
      <c r="B49" s="4"/>
      <c r="C49" s="227"/>
      <c r="D49" s="4"/>
      <c r="E49" s="4"/>
      <c r="F49" s="4"/>
      <c r="G49" s="4"/>
      <c r="H49" s="4"/>
      <c r="I49" s="4"/>
      <c r="J49" s="4"/>
    </row>
    <row r="50" spans="2:10">
      <c r="B50" s="4"/>
      <c r="C50" s="227"/>
      <c r="D50" s="4"/>
      <c r="E50" s="4"/>
      <c r="F50" s="4"/>
      <c r="G50" s="4"/>
      <c r="H50" s="4"/>
      <c r="I50" s="4"/>
      <c r="J50" s="4"/>
    </row>
    <row r="51" spans="2:10">
      <c r="B51" s="4"/>
      <c r="C51" s="227"/>
      <c r="D51" s="4"/>
      <c r="E51" s="4"/>
      <c r="F51" s="4"/>
      <c r="G51" s="4"/>
      <c r="H51" s="4"/>
      <c r="I51" s="4"/>
      <c r="J51" s="4"/>
    </row>
  </sheetData>
  <phoneticPr fontId="18" type="noConversion"/>
  <printOptions gridLines="1"/>
  <pageMargins left="0.75" right="0.75" top="0.5" bottom="0.5" header="0.5" footer="0.5"/>
  <pageSetup scale="70" orientation="landscape" horizontalDpi="4294967294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8"/>
  <sheetViews>
    <sheetView workbookViewId="0"/>
  </sheetViews>
  <sheetFormatPr defaultRowHeight="12.75"/>
  <cols>
    <col min="1" max="1" width="43.140625" customWidth="1"/>
    <col min="2" max="2" width="6.7109375" style="3" customWidth="1"/>
    <col min="3" max="3" width="8.7109375" customWidth="1"/>
    <col min="4" max="11" width="6.7109375" customWidth="1"/>
    <col min="12" max="12" width="9.5703125" customWidth="1"/>
    <col min="13" max="16" width="6.7109375" customWidth="1"/>
    <col min="17" max="17" width="7.28515625" customWidth="1"/>
    <col min="18" max="23" width="6.7109375" customWidth="1"/>
  </cols>
  <sheetData>
    <row r="1" spans="1:26" ht="18.75">
      <c r="A1" s="46" t="s">
        <v>206</v>
      </c>
      <c r="B1" s="42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6">
      <c r="B2" s="42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pans="1:26" s="68" customFormat="1">
      <c r="A3" s="179"/>
      <c r="B3" s="286" t="s">
        <v>220</v>
      </c>
      <c r="C3" s="286" t="s">
        <v>221</v>
      </c>
      <c r="D3" s="286" t="s">
        <v>222</v>
      </c>
      <c r="E3" s="286" t="s">
        <v>223</v>
      </c>
      <c r="F3" s="286" t="s">
        <v>224</v>
      </c>
      <c r="G3" s="286" t="s">
        <v>225</v>
      </c>
      <c r="H3" s="286" t="s">
        <v>226</v>
      </c>
      <c r="I3" s="286" t="s">
        <v>227</v>
      </c>
      <c r="J3" s="286" t="s">
        <v>228</v>
      </c>
      <c r="K3" s="286" t="s">
        <v>229</v>
      </c>
      <c r="L3" s="286" t="s">
        <v>230</v>
      </c>
      <c r="M3" s="286" t="s">
        <v>231</v>
      </c>
      <c r="N3" s="286" t="s">
        <v>232</v>
      </c>
      <c r="O3" s="286" t="s">
        <v>233</v>
      </c>
      <c r="P3" s="286" t="s">
        <v>234</v>
      </c>
      <c r="Q3" s="286" t="s">
        <v>235</v>
      </c>
      <c r="R3" s="286" t="s">
        <v>236</v>
      </c>
      <c r="S3" s="286" t="s">
        <v>237</v>
      </c>
      <c r="T3" s="286" t="s">
        <v>238</v>
      </c>
      <c r="U3" s="286" t="s">
        <v>240</v>
      </c>
      <c r="V3" s="286" t="s">
        <v>241</v>
      </c>
      <c r="W3" s="286" t="s">
        <v>239</v>
      </c>
      <c r="X3" s="214" t="s">
        <v>87</v>
      </c>
      <c r="Y3" s="214" t="s">
        <v>56</v>
      </c>
      <c r="Z3" s="181" t="s">
        <v>28</v>
      </c>
    </row>
    <row r="4" spans="1:26" s="68" customFormat="1" ht="15">
      <c r="A4" s="239" t="s">
        <v>120</v>
      </c>
      <c r="B4" s="379">
        <v>82</v>
      </c>
      <c r="C4" s="380">
        <v>67.5</v>
      </c>
      <c r="D4" s="380">
        <v>67.5</v>
      </c>
      <c r="E4" s="380">
        <v>72.5</v>
      </c>
      <c r="F4" s="380">
        <v>72.5</v>
      </c>
      <c r="G4" s="380">
        <v>72.5</v>
      </c>
      <c r="H4" s="380">
        <v>75</v>
      </c>
      <c r="I4" s="380">
        <v>85</v>
      </c>
      <c r="J4" s="380">
        <v>75</v>
      </c>
      <c r="K4" s="380">
        <v>72.5</v>
      </c>
      <c r="L4" s="380">
        <v>62.5</v>
      </c>
      <c r="M4" s="380"/>
      <c r="N4" s="380">
        <v>62.5</v>
      </c>
      <c r="O4" s="380"/>
      <c r="P4" s="380">
        <v>60</v>
      </c>
      <c r="Q4" s="380">
        <v>77</v>
      </c>
      <c r="R4" s="380">
        <v>77</v>
      </c>
      <c r="S4" s="380"/>
      <c r="T4" s="380"/>
      <c r="U4" s="380"/>
      <c r="V4" s="380">
        <v>57.5</v>
      </c>
      <c r="W4" s="380">
        <v>52</v>
      </c>
      <c r="X4" s="212">
        <f t="shared" ref="X4:X16" si="0">AVERAGE(B4:W4)</f>
        <v>70.029411764705884</v>
      </c>
      <c r="Y4" s="212">
        <f>(((X4/$X$17)^2-1)/(($X$18/$X$17)^2-1))*100</f>
        <v>92.265285275990138</v>
      </c>
      <c r="Z4" s="213">
        <f>RANK(Y4,$Y$4:$Y$16)</f>
        <v>3</v>
      </c>
    </row>
    <row r="5" spans="1:26" s="68" customFormat="1" ht="15">
      <c r="A5" s="239" t="s">
        <v>121</v>
      </c>
      <c r="B5" s="379">
        <v>77</v>
      </c>
      <c r="C5" s="380">
        <v>62.5</v>
      </c>
      <c r="D5" s="380">
        <v>55</v>
      </c>
      <c r="E5" s="380">
        <v>65</v>
      </c>
      <c r="F5" s="380">
        <v>72.5</v>
      </c>
      <c r="G5" s="380">
        <v>75</v>
      </c>
      <c r="H5" s="380">
        <v>60</v>
      </c>
      <c r="I5" s="380">
        <v>72.5</v>
      </c>
      <c r="J5" s="380">
        <v>87.5</v>
      </c>
      <c r="K5" s="380">
        <v>72.5</v>
      </c>
      <c r="L5" s="380">
        <v>40</v>
      </c>
      <c r="M5" s="380">
        <v>66</v>
      </c>
      <c r="N5" s="380">
        <v>80</v>
      </c>
      <c r="O5" s="380"/>
      <c r="P5" s="380">
        <v>42.5</v>
      </c>
      <c r="Q5" s="380">
        <v>84</v>
      </c>
      <c r="R5" s="380">
        <v>71</v>
      </c>
      <c r="S5" s="380"/>
      <c r="T5" s="380"/>
      <c r="U5" s="380"/>
      <c r="V5" s="380">
        <v>55</v>
      </c>
      <c r="W5" s="380">
        <v>81</v>
      </c>
      <c r="X5" s="212">
        <f t="shared" si="0"/>
        <v>67.722222222222229</v>
      </c>
      <c r="Y5" s="212">
        <f t="shared" ref="Y5:Y16" si="1">(((X5/$X$17)^2-1)/(($X$18/$X$17)^2-1))*100</f>
        <v>85.352045964434708</v>
      </c>
      <c r="Z5" s="213">
        <f t="shared" ref="Z5:Z16" si="2">RANK(Y5,$Y$4:$Y$16)</f>
        <v>5</v>
      </c>
    </row>
    <row r="6" spans="1:26" s="183" customFormat="1" ht="15">
      <c r="A6" s="239" t="s">
        <v>122</v>
      </c>
      <c r="B6" s="379">
        <v>75</v>
      </c>
      <c r="C6" s="380">
        <v>62.5</v>
      </c>
      <c r="D6" s="380">
        <v>67.5</v>
      </c>
      <c r="E6" s="380">
        <v>64</v>
      </c>
      <c r="F6" s="380">
        <v>80</v>
      </c>
      <c r="G6" s="380">
        <v>50</v>
      </c>
      <c r="H6" s="380">
        <v>60</v>
      </c>
      <c r="I6" s="380">
        <v>72.5</v>
      </c>
      <c r="J6" s="380">
        <v>90</v>
      </c>
      <c r="K6" s="380">
        <v>77.5</v>
      </c>
      <c r="L6" s="380">
        <v>75</v>
      </c>
      <c r="M6" s="380">
        <v>69</v>
      </c>
      <c r="N6" s="380">
        <v>75</v>
      </c>
      <c r="O6" s="380"/>
      <c r="P6" s="380">
        <v>67.5</v>
      </c>
      <c r="Q6" s="380">
        <v>63</v>
      </c>
      <c r="R6" s="380">
        <v>85</v>
      </c>
      <c r="S6" s="380"/>
      <c r="T6" s="380"/>
      <c r="U6" s="380"/>
      <c r="V6" s="380">
        <v>42.5</v>
      </c>
      <c r="W6" s="380">
        <v>45</v>
      </c>
      <c r="X6" s="212">
        <f t="shared" si="0"/>
        <v>67.833333333333329</v>
      </c>
      <c r="Y6" s="212">
        <f t="shared" si="1"/>
        <v>85.67967046280593</v>
      </c>
      <c r="Z6" s="289">
        <f t="shared" si="2"/>
        <v>4</v>
      </c>
    </row>
    <row r="7" spans="1:26" s="68" customFormat="1" ht="15">
      <c r="A7" s="287" t="s">
        <v>160</v>
      </c>
      <c r="B7" s="381">
        <v>63</v>
      </c>
      <c r="C7" s="380">
        <v>57.5</v>
      </c>
      <c r="D7" s="380">
        <v>52.5</v>
      </c>
      <c r="E7" s="380">
        <v>46</v>
      </c>
      <c r="F7" s="380">
        <v>70</v>
      </c>
      <c r="G7" s="380">
        <v>57.5</v>
      </c>
      <c r="H7" s="380">
        <v>67.5</v>
      </c>
      <c r="I7" s="380">
        <v>50</v>
      </c>
      <c r="J7" s="380">
        <v>90</v>
      </c>
      <c r="K7" s="380">
        <v>62.5</v>
      </c>
      <c r="L7" s="380">
        <v>50</v>
      </c>
      <c r="M7" s="380">
        <v>42</v>
      </c>
      <c r="N7" s="380">
        <v>62.5</v>
      </c>
      <c r="O7" s="380">
        <v>77</v>
      </c>
      <c r="P7" s="380">
        <v>60</v>
      </c>
      <c r="Q7" s="380">
        <v>55</v>
      </c>
      <c r="R7" s="380">
        <v>75</v>
      </c>
      <c r="S7" s="380"/>
      <c r="T7" s="380"/>
      <c r="U7" s="380"/>
      <c r="V7" s="380">
        <v>55</v>
      </c>
      <c r="W7" s="380"/>
      <c r="X7" s="212">
        <f t="shared" si="0"/>
        <v>60.722222222222221</v>
      </c>
      <c r="Y7" s="212">
        <f t="shared" si="1"/>
        <v>65.794474679697089</v>
      </c>
      <c r="Z7" s="289">
        <f t="shared" si="2"/>
        <v>9</v>
      </c>
    </row>
    <row r="8" spans="1:26" s="68" customFormat="1" ht="15">
      <c r="A8" s="287" t="s">
        <v>161</v>
      </c>
      <c r="B8" s="381">
        <v>83</v>
      </c>
      <c r="C8" s="380">
        <v>65</v>
      </c>
      <c r="D8" s="380">
        <v>52.5</v>
      </c>
      <c r="E8" s="380">
        <v>60</v>
      </c>
      <c r="F8" s="380">
        <v>87.5</v>
      </c>
      <c r="G8" s="380"/>
      <c r="H8" s="380">
        <v>80</v>
      </c>
      <c r="I8" s="380">
        <v>72.5</v>
      </c>
      <c r="J8" s="380">
        <v>82.5</v>
      </c>
      <c r="K8" s="380">
        <v>62.5</v>
      </c>
      <c r="L8" s="380">
        <v>65</v>
      </c>
      <c r="M8" s="380">
        <v>50</v>
      </c>
      <c r="N8" s="380">
        <v>72.5</v>
      </c>
      <c r="O8" s="380">
        <v>86</v>
      </c>
      <c r="P8" s="380">
        <v>55</v>
      </c>
      <c r="Q8" s="380">
        <v>73</v>
      </c>
      <c r="R8" s="380">
        <v>76</v>
      </c>
      <c r="S8" s="380"/>
      <c r="T8" s="380"/>
      <c r="U8" s="380"/>
      <c r="V8" s="380">
        <v>75</v>
      </c>
      <c r="W8" s="380"/>
      <c r="X8" s="212">
        <f t="shared" si="0"/>
        <v>70.470588235294116</v>
      </c>
      <c r="Y8" s="212">
        <f t="shared" si="1"/>
        <v>93.613596728634946</v>
      </c>
      <c r="Z8" s="289">
        <f t="shared" si="2"/>
        <v>2</v>
      </c>
    </row>
    <row r="9" spans="1:26" s="384" customFormat="1" ht="15">
      <c r="A9" s="401" t="s">
        <v>282</v>
      </c>
      <c r="B9" s="379"/>
      <c r="C9" s="380"/>
      <c r="D9" s="380"/>
      <c r="E9" s="380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0"/>
      <c r="Q9" s="380"/>
      <c r="R9" s="380"/>
      <c r="S9" s="380"/>
      <c r="T9" s="380"/>
      <c r="U9" s="380"/>
      <c r="V9" s="380"/>
      <c r="W9" s="380"/>
      <c r="X9" s="212"/>
      <c r="Y9" s="212"/>
      <c r="Z9" s="289" t="s">
        <v>48</v>
      </c>
    </row>
    <row r="10" spans="1:26" s="68" customFormat="1" ht="15">
      <c r="A10" s="239" t="s">
        <v>123</v>
      </c>
      <c r="B10" s="379">
        <v>82.5</v>
      </c>
      <c r="C10" s="380">
        <v>50</v>
      </c>
      <c r="D10" s="380">
        <v>75</v>
      </c>
      <c r="E10" s="380">
        <v>60</v>
      </c>
      <c r="F10" s="380">
        <v>70</v>
      </c>
      <c r="G10" s="380">
        <v>77.5</v>
      </c>
      <c r="H10" s="380">
        <v>80</v>
      </c>
      <c r="I10" s="380">
        <v>67.5</v>
      </c>
      <c r="J10" s="380">
        <v>87.5</v>
      </c>
      <c r="K10" s="380">
        <v>67.5</v>
      </c>
      <c r="L10" s="380">
        <v>37.5</v>
      </c>
      <c r="M10" s="380">
        <v>71</v>
      </c>
      <c r="N10" s="380">
        <v>72.5</v>
      </c>
      <c r="O10" s="380">
        <v>78</v>
      </c>
      <c r="P10" s="380">
        <v>52.5</v>
      </c>
      <c r="Q10" s="380">
        <v>82</v>
      </c>
      <c r="R10" s="380">
        <v>75</v>
      </c>
      <c r="S10" s="380"/>
      <c r="T10" s="380"/>
      <c r="U10" s="380">
        <v>37.5</v>
      </c>
      <c r="V10" s="380">
        <v>52.5</v>
      </c>
      <c r="W10" s="380"/>
      <c r="X10" s="212">
        <f t="shared" si="0"/>
        <v>67.15789473684211</v>
      </c>
      <c r="Y10" s="212">
        <f t="shared" si="1"/>
        <v>83.696349604326329</v>
      </c>
      <c r="Z10" s="213">
        <f t="shared" si="2"/>
        <v>6</v>
      </c>
    </row>
    <row r="11" spans="1:26" s="68" customFormat="1" ht="15">
      <c r="A11" s="239" t="s">
        <v>163</v>
      </c>
      <c r="B11" s="380">
        <v>71</v>
      </c>
      <c r="C11" s="380">
        <v>52.5</v>
      </c>
      <c r="D11" s="380">
        <v>57.5</v>
      </c>
      <c r="E11" s="380">
        <v>59</v>
      </c>
      <c r="F11" s="380">
        <v>62.5</v>
      </c>
      <c r="G11" s="380">
        <v>72.5</v>
      </c>
      <c r="H11" s="380">
        <v>55</v>
      </c>
      <c r="I11" s="380">
        <v>50</v>
      </c>
      <c r="J11" s="380">
        <v>90</v>
      </c>
      <c r="K11" s="380">
        <v>65</v>
      </c>
      <c r="L11" s="380">
        <v>25</v>
      </c>
      <c r="M11" s="380">
        <v>58</v>
      </c>
      <c r="N11" s="380">
        <v>77.5</v>
      </c>
      <c r="O11" s="380"/>
      <c r="P11" s="380"/>
      <c r="Q11" s="380">
        <v>48</v>
      </c>
      <c r="R11" s="380">
        <v>74</v>
      </c>
      <c r="S11" s="380">
        <v>62</v>
      </c>
      <c r="T11" s="380">
        <v>68</v>
      </c>
      <c r="U11" s="380">
        <v>45</v>
      </c>
      <c r="V11" s="380">
        <v>52.5</v>
      </c>
      <c r="W11" s="380">
        <v>55</v>
      </c>
      <c r="X11" s="212">
        <f t="shared" si="0"/>
        <v>60</v>
      </c>
      <c r="Y11" s="212">
        <f t="shared" si="1"/>
        <v>63.897945078367449</v>
      </c>
      <c r="Z11" s="213">
        <f t="shared" si="2"/>
        <v>10</v>
      </c>
    </row>
    <row r="12" spans="1:26" s="384" customFormat="1" ht="15">
      <c r="A12" s="401" t="s">
        <v>283</v>
      </c>
      <c r="B12" s="380"/>
      <c r="C12" s="380"/>
      <c r="D12" s="380"/>
      <c r="E12" s="380"/>
      <c r="F12" s="380"/>
      <c r="G12" s="380"/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80"/>
      <c r="T12" s="380"/>
      <c r="U12" s="380"/>
      <c r="V12" s="380"/>
      <c r="W12" s="380"/>
      <c r="X12" s="212"/>
      <c r="Y12" s="212"/>
      <c r="Z12" s="289" t="s">
        <v>48</v>
      </c>
    </row>
    <row r="13" spans="1:26" s="68" customFormat="1" ht="15">
      <c r="A13" s="239" t="s">
        <v>164</v>
      </c>
      <c r="B13" s="380">
        <v>70</v>
      </c>
      <c r="C13" s="380">
        <v>37.5</v>
      </c>
      <c r="D13" s="380">
        <v>70</v>
      </c>
      <c r="E13" s="380">
        <v>66</v>
      </c>
      <c r="F13" s="380">
        <v>75</v>
      </c>
      <c r="G13" s="380">
        <v>62.5</v>
      </c>
      <c r="H13" s="380">
        <v>82.5</v>
      </c>
      <c r="I13" s="380">
        <v>47.5</v>
      </c>
      <c r="J13" s="380">
        <v>50</v>
      </c>
      <c r="K13" s="380">
        <v>55</v>
      </c>
      <c r="L13" s="380">
        <v>40</v>
      </c>
      <c r="M13" s="380">
        <v>70</v>
      </c>
      <c r="N13" s="380">
        <v>80</v>
      </c>
      <c r="O13" s="380"/>
      <c r="P13" s="380">
        <v>75</v>
      </c>
      <c r="Q13" s="380">
        <v>72</v>
      </c>
      <c r="R13" s="380">
        <v>70</v>
      </c>
      <c r="S13" s="380">
        <v>64</v>
      </c>
      <c r="T13" s="380">
        <v>68</v>
      </c>
      <c r="U13" s="380">
        <v>35</v>
      </c>
      <c r="V13" s="380">
        <v>52.5</v>
      </c>
      <c r="W13" s="380">
        <v>45</v>
      </c>
      <c r="X13" s="212">
        <f t="shared" si="0"/>
        <v>61.30952380952381</v>
      </c>
      <c r="Y13" s="212">
        <f t="shared" si="1"/>
        <v>67.353436779206746</v>
      </c>
      <c r="Z13" s="213">
        <f t="shared" si="2"/>
        <v>8</v>
      </c>
    </row>
    <row r="14" spans="1:26" s="183" customFormat="1" ht="15">
      <c r="A14" s="239" t="s">
        <v>165</v>
      </c>
      <c r="B14" s="382">
        <v>77</v>
      </c>
      <c r="C14" s="382">
        <v>55</v>
      </c>
      <c r="D14" s="382">
        <v>55</v>
      </c>
      <c r="E14" s="382">
        <v>57</v>
      </c>
      <c r="F14" s="382">
        <v>72.5</v>
      </c>
      <c r="G14" s="382">
        <v>67.5</v>
      </c>
      <c r="H14" s="382">
        <v>85</v>
      </c>
      <c r="I14" s="382">
        <v>80</v>
      </c>
      <c r="J14" s="382">
        <v>85</v>
      </c>
      <c r="K14" s="382">
        <v>70</v>
      </c>
      <c r="L14" s="382">
        <v>17.5</v>
      </c>
      <c r="M14" s="382">
        <v>72</v>
      </c>
      <c r="N14" s="382">
        <v>72.5</v>
      </c>
      <c r="O14" s="382"/>
      <c r="P14" s="382">
        <v>30</v>
      </c>
      <c r="Q14" s="382">
        <v>89</v>
      </c>
      <c r="R14" s="382">
        <v>69</v>
      </c>
      <c r="S14" s="382">
        <v>68</v>
      </c>
      <c r="T14" s="382">
        <v>65</v>
      </c>
      <c r="U14" s="382">
        <v>67.5</v>
      </c>
      <c r="V14" s="382">
        <v>52.5</v>
      </c>
      <c r="W14" s="382">
        <v>56</v>
      </c>
      <c r="X14" s="212">
        <f t="shared" si="0"/>
        <v>64.904761904761898</v>
      </c>
      <c r="Y14" s="212">
        <f t="shared" si="1"/>
        <v>77.223904394260828</v>
      </c>
      <c r="Z14" s="289">
        <f t="shared" si="2"/>
        <v>7</v>
      </c>
    </row>
    <row r="15" spans="1:26" s="183" customFormat="1" ht="15">
      <c r="A15" s="239" t="s">
        <v>166</v>
      </c>
      <c r="B15" s="382">
        <v>13.5</v>
      </c>
      <c r="C15" s="382">
        <v>12.5</v>
      </c>
      <c r="D15" s="382">
        <v>30</v>
      </c>
      <c r="E15" s="382">
        <v>11</v>
      </c>
      <c r="F15" s="382">
        <v>32.5</v>
      </c>
      <c r="G15" s="382">
        <v>20</v>
      </c>
      <c r="H15" s="382">
        <v>62.5</v>
      </c>
      <c r="I15" s="382">
        <v>10</v>
      </c>
      <c r="J15" s="382">
        <v>27.5</v>
      </c>
      <c r="K15" s="382">
        <v>27.5</v>
      </c>
      <c r="L15" s="382">
        <v>0</v>
      </c>
      <c r="M15" s="382">
        <v>30</v>
      </c>
      <c r="N15" s="382">
        <v>52.5</v>
      </c>
      <c r="O15" s="382"/>
      <c r="P15" s="382">
        <v>20</v>
      </c>
      <c r="Q15" s="382">
        <v>30</v>
      </c>
      <c r="R15" s="382">
        <v>58</v>
      </c>
      <c r="S15" s="382">
        <v>26</v>
      </c>
      <c r="T15" s="382">
        <v>24</v>
      </c>
      <c r="U15" s="382">
        <v>10</v>
      </c>
      <c r="V15" s="382">
        <v>20</v>
      </c>
      <c r="W15" s="382">
        <v>23</v>
      </c>
      <c r="X15" s="212">
        <f t="shared" si="0"/>
        <v>25.738095238095237</v>
      </c>
      <c r="Y15" s="212">
        <f t="shared" si="1"/>
        <v>0</v>
      </c>
      <c r="Z15" s="289">
        <f t="shared" si="2"/>
        <v>11</v>
      </c>
    </row>
    <row r="16" spans="1:26" s="68" customFormat="1" ht="15">
      <c r="A16" s="239" t="s">
        <v>167</v>
      </c>
      <c r="B16" s="382">
        <v>83.5</v>
      </c>
      <c r="C16" s="382">
        <v>67.5</v>
      </c>
      <c r="D16" s="382">
        <v>75</v>
      </c>
      <c r="E16" s="382">
        <v>70</v>
      </c>
      <c r="F16" s="382">
        <v>75</v>
      </c>
      <c r="G16" s="382">
        <v>82.5</v>
      </c>
      <c r="H16" s="382">
        <v>80</v>
      </c>
      <c r="I16" s="382">
        <v>52.5</v>
      </c>
      <c r="J16" s="382">
        <v>90</v>
      </c>
      <c r="K16" s="382">
        <v>80</v>
      </c>
      <c r="L16" s="382">
        <v>45</v>
      </c>
      <c r="M16" s="382">
        <v>78</v>
      </c>
      <c r="N16" s="382">
        <v>72.5</v>
      </c>
      <c r="O16" s="382"/>
      <c r="P16" s="382">
        <v>77.5</v>
      </c>
      <c r="Q16" s="382">
        <v>49</v>
      </c>
      <c r="R16" s="382">
        <v>78</v>
      </c>
      <c r="S16" s="382">
        <v>76</v>
      </c>
      <c r="T16" s="382">
        <v>85</v>
      </c>
      <c r="U16" s="382">
        <v>67.5</v>
      </c>
      <c r="V16" s="382">
        <v>62.5</v>
      </c>
      <c r="W16" s="383">
        <v>76</v>
      </c>
      <c r="X16" s="212">
        <f t="shared" si="0"/>
        <v>72.523809523809518</v>
      </c>
      <c r="Y16" s="212">
        <f t="shared" si="1"/>
        <v>100</v>
      </c>
      <c r="Z16" s="213">
        <f t="shared" si="2"/>
        <v>1</v>
      </c>
    </row>
    <row r="17" spans="23:24">
      <c r="W17" t="s">
        <v>89</v>
      </c>
      <c r="X17" s="63">
        <f>MIN(X4:X16)</f>
        <v>25.738095238095237</v>
      </c>
    </row>
    <row r="18" spans="23:24">
      <c r="W18" t="s">
        <v>90</v>
      </c>
      <c r="X18" s="185">
        <f>MAX(X4:X17)</f>
        <v>72.523809523809518</v>
      </c>
    </row>
  </sheetData>
  <phoneticPr fontId="18" type="noConversion"/>
  <printOptions gridLines="1"/>
  <pageMargins left="0.21" right="0.2" top="1" bottom="1" header="0.5" footer="0.5"/>
  <pageSetup scale="65" orientation="landscape" horizontalDpi="4294967294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9"/>
  <sheetViews>
    <sheetView workbookViewId="0"/>
  </sheetViews>
  <sheetFormatPr defaultRowHeight="12.75"/>
  <cols>
    <col min="1" max="1" width="39.5703125" customWidth="1"/>
    <col min="2" max="2" width="9.7109375" customWidth="1"/>
    <col min="3" max="3" width="10" customWidth="1"/>
    <col min="4" max="4" width="11.42578125" customWidth="1"/>
    <col min="5" max="5" width="11.28515625" customWidth="1"/>
    <col min="6" max="6" width="14.28515625" customWidth="1"/>
    <col min="7" max="7" width="12.7109375" customWidth="1"/>
    <col min="8" max="8" width="12.42578125" customWidth="1"/>
    <col min="9" max="9" width="11" customWidth="1"/>
  </cols>
  <sheetData>
    <row r="1" spans="1:8" ht="18.75">
      <c r="A1" s="7" t="s">
        <v>208</v>
      </c>
      <c r="B1" s="8"/>
      <c r="C1" s="6"/>
      <c r="D1" s="9"/>
      <c r="E1" s="70"/>
      <c r="F1" s="38"/>
      <c r="G1" s="6"/>
      <c r="H1" s="6"/>
    </row>
    <row r="2" spans="1:8" s="68" customFormat="1" ht="12.75" customHeight="1">
      <c r="A2" s="38"/>
      <c r="B2" s="38"/>
      <c r="C2" s="38"/>
      <c r="D2" s="218" t="s">
        <v>15</v>
      </c>
      <c r="E2" s="219">
        <f>MIN(D5:D17)</f>
        <v>8.15</v>
      </c>
      <c r="F2" s="38" t="s">
        <v>16</v>
      </c>
      <c r="G2" s="38"/>
      <c r="H2" s="38"/>
    </row>
    <row r="3" spans="1:8">
      <c r="A3" s="6"/>
      <c r="B3" s="11"/>
      <c r="C3" s="12"/>
      <c r="D3" s="220" t="s">
        <v>104</v>
      </c>
      <c r="E3" s="221">
        <f>MAX(D5:D17)</f>
        <v>10.6</v>
      </c>
      <c r="F3" s="309" t="s">
        <v>16</v>
      </c>
      <c r="G3" s="6"/>
    </row>
    <row r="4" spans="1:8" ht="27" customHeight="1">
      <c r="A4" s="10"/>
      <c r="B4" s="39" t="s">
        <v>32</v>
      </c>
      <c r="C4" s="39" t="s">
        <v>33</v>
      </c>
      <c r="D4" s="39" t="s">
        <v>41</v>
      </c>
      <c r="E4" s="36" t="s">
        <v>9</v>
      </c>
      <c r="F4" s="5" t="s">
        <v>28</v>
      </c>
      <c r="G4" s="18"/>
      <c r="H4" s="36"/>
    </row>
    <row r="5" spans="1:8" ht="15">
      <c r="A5" s="239" t="s">
        <v>120</v>
      </c>
      <c r="B5" s="426">
        <v>9.16</v>
      </c>
      <c r="C5" s="416">
        <v>8.84</v>
      </c>
      <c r="D5" s="184">
        <f t="shared" ref="D5:D17" si="0">MIN(B5:C5)</f>
        <v>8.84</v>
      </c>
      <c r="E5" s="61">
        <f>IF((D5&gt;11.45),0,50*((12/D5)^2-1)/((12/$E$2)^2-1))</f>
        <v>36.076941239545917</v>
      </c>
      <c r="F5" s="5">
        <f>RANK(E5,$E$5:$E$17)</f>
        <v>6</v>
      </c>
      <c r="G5" s="18"/>
      <c r="H5" s="67"/>
    </row>
    <row r="6" spans="1:8" ht="15">
      <c r="A6" s="239" t="s">
        <v>121</v>
      </c>
      <c r="B6" s="426">
        <v>8.19</v>
      </c>
      <c r="C6" s="426">
        <v>8.56</v>
      </c>
      <c r="D6" s="184">
        <f t="shared" si="0"/>
        <v>8.19</v>
      </c>
      <c r="E6" s="61">
        <f t="shared" ref="E6:E17" si="1">IF((D6&gt;11.45),0,50*((12/D6)^2-1)/((12/$E$2)^2-1))</f>
        <v>49.095640809474688</v>
      </c>
      <c r="F6" s="5">
        <f t="shared" ref="F6:F17" si="2">RANK(E6,$E$5:$E$17)</f>
        <v>2</v>
      </c>
      <c r="G6" s="18"/>
      <c r="H6" s="67"/>
    </row>
    <row r="7" spans="1:8" ht="15">
      <c r="A7" s="239" t="s">
        <v>122</v>
      </c>
      <c r="B7" s="426">
        <v>8.6</v>
      </c>
      <c r="C7" s="427">
        <v>8.4</v>
      </c>
      <c r="D7" s="184">
        <f t="shared" si="0"/>
        <v>8.4</v>
      </c>
      <c r="E7" s="61">
        <f t="shared" si="1"/>
        <v>44.557779284573243</v>
      </c>
      <c r="F7" s="5">
        <f t="shared" si="2"/>
        <v>3</v>
      </c>
      <c r="G7" s="18"/>
      <c r="H7" s="67"/>
    </row>
    <row r="8" spans="1:8" s="243" customFormat="1" ht="15">
      <c r="A8" s="287" t="s">
        <v>160</v>
      </c>
      <c r="B8" s="426">
        <v>11.03</v>
      </c>
      <c r="C8" s="426">
        <v>10.6</v>
      </c>
      <c r="D8" s="184">
        <f t="shared" si="0"/>
        <v>10.6</v>
      </c>
      <c r="E8" s="61">
        <f t="shared" si="1"/>
        <v>12.055193511687039</v>
      </c>
      <c r="F8" s="5">
        <f t="shared" si="2"/>
        <v>8</v>
      </c>
      <c r="G8" s="292"/>
      <c r="H8" s="296"/>
    </row>
    <row r="9" spans="1:8" ht="15">
      <c r="A9" s="287" t="s">
        <v>161</v>
      </c>
      <c r="B9" s="426"/>
      <c r="C9" s="426"/>
      <c r="D9" s="184"/>
      <c r="E9" s="61"/>
      <c r="F9" s="5"/>
      <c r="G9" s="18"/>
      <c r="H9" s="67"/>
    </row>
    <row r="10" spans="1:8" ht="15">
      <c r="A10" s="239" t="s">
        <v>162</v>
      </c>
      <c r="B10" s="426"/>
      <c r="C10" s="426"/>
      <c r="D10" s="184"/>
      <c r="E10" s="61"/>
      <c r="F10" s="5"/>
      <c r="G10" s="18"/>
      <c r="H10" s="67"/>
    </row>
    <row r="11" spans="1:8" ht="15">
      <c r="A11" s="239" t="s">
        <v>123</v>
      </c>
      <c r="B11" s="426">
        <v>8.15</v>
      </c>
      <c r="C11" s="426">
        <v>8.31</v>
      </c>
      <c r="D11" s="184">
        <f t="shared" si="0"/>
        <v>8.15</v>
      </c>
      <c r="E11" s="61">
        <f t="shared" si="1"/>
        <v>50</v>
      </c>
      <c r="F11" s="5">
        <f t="shared" si="2"/>
        <v>1</v>
      </c>
      <c r="G11" s="18"/>
      <c r="H11" s="67"/>
    </row>
    <row r="12" spans="1:8" ht="15">
      <c r="A12" s="239" t="s">
        <v>163</v>
      </c>
      <c r="B12" s="426"/>
      <c r="C12" s="426"/>
      <c r="D12" s="184"/>
      <c r="E12" s="61"/>
      <c r="F12" s="5"/>
      <c r="G12" s="18"/>
      <c r="H12" s="67"/>
    </row>
    <row r="13" spans="1:8" ht="15">
      <c r="A13" s="239" t="s">
        <v>124</v>
      </c>
      <c r="B13" s="426"/>
      <c r="C13" s="426"/>
      <c r="D13" s="184"/>
      <c r="E13" s="61"/>
      <c r="F13" s="5"/>
      <c r="G13" s="18"/>
      <c r="H13" s="67"/>
    </row>
    <row r="14" spans="1:8" s="146" customFormat="1" ht="15">
      <c r="A14" s="239" t="s">
        <v>164</v>
      </c>
      <c r="B14" s="426"/>
      <c r="C14" s="426"/>
      <c r="D14" s="184"/>
      <c r="E14" s="61"/>
      <c r="F14" s="5"/>
      <c r="G14" s="147"/>
      <c r="H14" s="150"/>
    </row>
    <row r="15" spans="1:8" ht="15">
      <c r="A15" s="239" t="s">
        <v>165</v>
      </c>
      <c r="B15" s="426">
        <v>10.63</v>
      </c>
      <c r="C15" s="426">
        <v>9.94</v>
      </c>
      <c r="D15" s="184">
        <f t="shared" si="0"/>
        <v>9.94</v>
      </c>
      <c r="E15" s="61">
        <f t="shared" si="1"/>
        <v>19.58305829120124</v>
      </c>
      <c r="F15" s="5">
        <f t="shared" si="2"/>
        <v>7</v>
      </c>
      <c r="G15" s="5"/>
      <c r="H15" s="2"/>
    </row>
    <row r="16" spans="1:8" ht="15">
      <c r="A16" s="239" t="s">
        <v>166</v>
      </c>
      <c r="B16" s="426">
        <v>9.09</v>
      </c>
      <c r="C16" s="416">
        <v>8.81</v>
      </c>
      <c r="D16" s="184">
        <f t="shared" si="0"/>
        <v>8.81</v>
      </c>
      <c r="E16" s="61">
        <f t="shared" si="1"/>
        <v>36.615113800856072</v>
      </c>
      <c r="F16" s="5">
        <f t="shared" si="2"/>
        <v>5</v>
      </c>
      <c r="G16" s="18"/>
      <c r="H16" s="3"/>
    </row>
    <row r="17" spans="1:8" ht="15">
      <c r="A17" s="239" t="s">
        <v>167</v>
      </c>
      <c r="B17" s="426">
        <v>8.81</v>
      </c>
      <c r="C17" s="416">
        <v>8.69</v>
      </c>
      <c r="D17" s="184">
        <f t="shared" si="0"/>
        <v>8.69</v>
      </c>
      <c r="E17" s="61">
        <f t="shared" si="1"/>
        <v>38.823829707835181</v>
      </c>
      <c r="F17" s="5">
        <f t="shared" si="2"/>
        <v>4</v>
      </c>
      <c r="G17" s="18"/>
      <c r="H17" s="3"/>
    </row>
    <row r="18" spans="1:8">
      <c r="A18" s="24"/>
      <c r="B18" s="58"/>
      <c r="C18" s="58"/>
      <c r="D18" s="58"/>
      <c r="E18" s="18"/>
      <c r="F18" s="18"/>
      <c r="G18" s="18"/>
      <c r="H18" s="3"/>
    </row>
    <row r="19" spans="1:8">
      <c r="A19" s="24"/>
      <c r="B19" s="58"/>
      <c r="C19" s="141"/>
      <c r="D19" s="58"/>
      <c r="E19" s="18"/>
      <c r="F19" s="18"/>
      <c r="G19" s="18"/>
      <c r="H19" s="3"/>
    </row>
    <row r="20" spans="1:8">
      <c r="A20" s="24"/>
      <c r="B20" s="58"/>
      <c r="C20" s="58"/>
      <c r="D20" s="58"/>
      <c r="E20" s="18"/>
      <c r="F20" s="18"/>
      <c r="G20" s="18"/>
      <c r="H20" s="3"/>
    </row>
    <row r="21" spans="1:8">
      <c r="A21" s="24"/>
      <c r="B21" s="58"/>
      <c r="C21" s="141"/>
      <c r="D21" s="58"/>
      <c r="E21" s="18"/>
      <c r="F21" s="18"/>
      <c r="G21" s="18"/>
      <c r="H21" s="3"/>
    </row>
    <row r="22" spans="1:8">
      <c r="A22" s="24"/>
      <c r="B22" s="58"/>
      <c r="C22" s="58"/>
      <c r="D22" s="58"/>
      <c r="E22" s="18"/>
      <c r="F22" s="18"/>
      <c r="G22" s="18"/>
      <c r="H22" s="3"/>
    </row>
    <row r="23" spans="1:8">
      <c r="A23" s="24"/>
      <c r="B23" s="58"/>
      <c r="C23" s="58"/>
      <c r="D23" s="58"/>
      <c r="E23" s="18"/>
      <c r="F23" s="18"/>
      <c r="G23" s="18"/>
      <c r="H23" s="3"/>
    </row>
    <row r="24" spans="1:8">
      <c r="A24" s="24"/>
      <c r="B24" s="58"/>
      <c r="C24" s="58"/>
      <c r="D24" s="58"/>
      <c r="E24" s="18"/>
      <c r="F24" s="18"/>
      <c r="G24" s="18"/>
      <c r="H24" s="3"/>
    </row>
    <row r="25" spans="1:8">
      <c r="A25" s="24"/>
      <c r="B25" s="58"/>
      <c r="C25" s="58"/>
      <c r="D25" s="58"/>
      <c r="E25" s="18"/>
      <c r="F25" s="18"/>
      <c r="G25" s="18"/>
      <c r="H25" s="3"/>
    </row>
    <row r="26" spans="1:8">
      <c r="A26" s="24"/>
      <c r="B26" s="58"/>
      <c r="C26" s="58"/>
      <c r="D26" s="58"/>
      <c r="E26" s="18"/>
      <c r="F26" s="18"/>
      <c r="G26" s="18"/>
      <c r="H26" s="3"/>
    </row>
    <row r="27" spans="1:8">
      <c r="A27" s="24"/>
      <c r="B27" s="58"/>
      <c r="C27" s="58"/>
      <c r="D27" s="58"/>
      <c r="E27" s="18"/>
      <c r="F27" s="18"/>
      <c r="G27" s="18"/>
      <c r="H27" s="3"/>
    </row>
    <row r="28" spans="1:8">
      <c r="A28" s="24"/>
      <c r="B28" s="58"/>
      <c r="C28" s="58"/>
      <c r="D28" s="58"/>
      <c r="E28" s="18"/>
      <c r="F28" s="18"/>
      <c r="G28" s="18"/>
      <c r="H28" s="6"/>
    </row>
    <row r="29" spans="1:8">
      <c r="A29" s="24"/>
      <c r="B29" s="58"/>
      <c r="C29" s="58"/>
      <c r="D29" s="58"/>
      <c r="E29" s="18"/>
      <c r="F29" s="18"/>
      <c r="G29" s="18"/>
      <c r="H29" s="6"/>
    </row>
    <row r="30" spans="1:8">
      <c r="A30" s="12"/>
      <c r="B30" s="58"/>
      <c r="C30" s="58"/>
      <c r="D30" s="58"/>
      <c r="E30" s="18"/>
      <c r="F30" s="18"/>
      <c r="G30" s="18"/>
      <c r="H30" s="6"/>
    </row>
    <row r="31" spans="1:8">
      <c r="A31" s="12"/>
      <c r="B31" s="58"/>
      <c r="C31" s="58"/>
      <c r="D31" s="58"/>
      <c r="E31" s="18"/>
      <c r="F31" s="18"/>
      <c r="G31" s="18"/>
      <c r="H31" s="6"/>
    </row>
    <row r="32" spans="1:8">
      <c r="A32" s="12"/>
      <c r="B32" s="58"/>
      <c r="C32" s="58"/>
      <c r="D32" s="58"/>
      <c r="E32" s="18"/>
      <c r="F32" s="18"/>
      <c r="G32" s="18"/>
      <c r="H32" s="6"/>
    </row>
    <row r="33" spans="1:8">
      <c r="A33" s="52"/>
      <c r="B33" s="12"/>
      <c r="C33" s="12"/>
      <c r="D33" s="12"/>
      <c r="E33" s="6"/>
      <c r="F33" s="6"/>
      <c r="G33" s="6"/>
      <c r="H33" s="6"/>
    </row>
    <row r="34" spans="1:8">
      <c r="B34" s="4"/>
      <c r="C34" s="4"/>
      <c r="D34" s="4"/>
    </row>
    <row r="35" spans="1:8">
      <c r="B35" s="4"/>
      <c r="C35" s="4"/>
      <c r="D35" s="4"/>
    </row>
    <row r="36" spans="1:8">
      <c r="B36" s="4"/>
      <c r="C36" s="4"/>
      <c r="D36" s="4"/>
    </row>
    <row r="37" spans="1:8">
      <c r="B37" s="4"/>
      <c r="C37" s="4"/>
      <c r="D37" s="4"/>
    </row>
    <row r="38" spans="1:8">
      <c r="B38" s="4"/>
      <c r="C38" s="4"/>
      <c r="D38" s="4"/>
    </row>
    <row r="39" spans="1:8">
      <c r="B39" s="4"/>
      <c r="C39" s="4"/>
      <c r="D39" s="4"/>
    </row>
    <row r="40" spans="1:8">
      <c r="B40" s="4"/>
      <c r="C40" s="4"/>
      <c r="D40" s="4"/>
    </row>
    <row r="41" spans="1:8">
      <c r="B41" s="4"/>
      <c r="C41" s="4"/>
      <c r="D41" s="4"/>
    </row>
    <row r="42" spans="1:8">
      <c r="B42" s="4"/>
      <c r="C42" s="4"/>
      <c r="D42" s="4"/>
    </row>
    <row r="43" spans="1:8">
      <c r="B43" s="4"/>
      <c r="C43" s="4"/>
      <c r="D43" s="4"/>
    </row>
    <row r="44" spans="1:8">
      <c r="B44" s="4"/>
      <c r="C44" s="4"/>
      <c r="D44" s="4"/>
    </row>
    <row r="45" spans="1:8">
      <c r="B45" s="4"/>
      <c r="C45" s="4"/>
      <c r="D45" s="4"/>
    </row>
    <row r="46" spans="1:8">
      <c r="B46" s="4"/>
      <c r="C46" s="4"/>
      <c r="D46" s="4"/>
    </row>
    <row r="47" spans="1:8">
      <c r="B47" s="4"/>
      <c r="C47" s="4"/>
      <c r="D47" s="4"/>
    </row>
    <row r="48" spans="1:8">
      <c r="B48" s="4"/>
      <c r="C48" s="4"/>
      <c r="D48" s="4"/>
    </row>
    <row r="49" spans="2:4">
      <c r="B49" s="4"/>
      <c r="C49" s="4"/>
      <c r="D49" s="4"/>
    </row>
    <row r="50" spans="2:4">
      <c r="B50" s="4"/>
      <c r="C50" s="4"/>
      <c r="D50" s="4"/>
    </row>
    <row r="51" spans="2:4">
      <c r="B51" s="4"/>
      <c r="C51" s="4"/>
      <c r="D51" s="4"/>
    </row>
    <row r="52" spans="2:4">
      <c r="B52" s="4"/>
      <c r="C52" s="4"/>
      <c r="D52" s="4"/>
    </row>
    <row r="53" spans="2:4">
      <c r="B53" s="4"/>
      <c r="C53" s="4"/>
      <c r="D53" s="4"/>
    </row>
    <row r="54" spans="2:4">
      <c r="B54" s="4"/>
      <c r="C54" s="4"/>
      <c r="D54" s="4"/>
    </row>
    <row r="55" spans="2:4">
      <c r="B55" s="4"/>
      <c r="C55" s="4"/>
      <c r="D55" s="4"/>
    </row>
    <row r="56" spans="2:4">
      <c r="B56" s="4"/>
      <c r="C56" s="4"/>
      <c r="D56" s="4"/>
    </row>
    <row r="57" spans="2:4">
      <c r="B57" s="4"/>
      <c r="C57" s="4"/>
      <c r="D57" s="4"/>
    </row>
    <row r="58" spans="2:4">
      <c r="B58" s="4"/>
      <c r="C58" s="4"/>
      <c r="D58" s="4"/>
    </row>
    <row r="59" spans="2:4">
      <c r="B59" s="4"/>
      <c r="C59" s="4"/>
      <c r="D59" s="4"/>
    </row>
    <row r="60" spans="2:4">
      <c r="B60" s="4"/>
      <c r="C60" s="4"/>
      <c r="D60" s="4"/>
    </row>
    <row r="61" spans="2:4">
      <c r="B61" s="4"/>
      <c r="C61" s="4"/>
      <c r="D61" s="4"/>
    </row>
    <row r="62" spans="2:4">
      <c r="B62" s="4"/>
      <c r="C62" s="4"/>
      <c r="D62" s="4"/>
    </row>
    <row r="63" spans="2:4">
      <c r="B63" s="4"/>
      <c r="C63" s="4"/>
      <c r="D63" s="4"/>
    </row>
    <row r="64" spans="2:4">
      <c r="B64" s="4"/>
      <c r="C64" s="4"/>
      <c r="D64" s="4"/>
    </row>
    <row r="65" spans="2:4">
      <c r="B65" s="4"/>
      <c r="C65" s="4"/>
      <c r="D65" s="4"/>
    </row>
    <row r="66" spans="2:4">
      <c r="B66" s="4"/>
      <c r="C66" s="4"/>
      <c r="D66" s="4"/>
    </row>
    <row r="67" spans="2:4">
      <c r="B67" s="4"/>
      <c r="C67" s="4"/>
      <c r="D67" s="4"/>
    </row>
    <row r="68" spans="2:4">
      <c r="B68" s="4"/>
      <c r="C68" s="4"/>
      <c r="D68" s="4"/>
    </row>
    <row r="69" spans="2:4">
      <c r="B69" s="4"/>
      <c r="C69" s="4"/>
      <c r="D69" s="4"/>
    </row>
  </sheetData>
  <phoneticPr fontId="18" type="noConversion"/>
  <printOptions gridLines="1"/>
  <pageMargins left="0.75" right="0.75" top="0.5" bottom="0.5" header="0.5" footer="0.5"/>
  <pageSetup orientation="landscape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5</vt:i4>
      </vt:variant>
    </vt:vector>
  </HeadingPairs>
  <TitlesOfParts>
    <vt:vector size="20" baseType="lpstr">
      <vt:lpstr>Totals and Awards</vt:lpstr>
      <vt:lpstr>Paper</vt:lpstr>
      <vt:lpstr>Static</vt:lpstr>
      <vt:lpstr>MSRP</vt:lpstr>
      <vt:lpstr>Subjective Handling </vt:lpstr>
      <vt:lpstr>Fuel Economy </vt:lpstr>
      <vt:lpstr>Noise</vt:lpstr>
      <vt:lpstr>Oral</vt:lpstr>
      <vt:lpstr>Acceleration</vt:lpstr>
      <vt:lpstr>Lab Emissions</vt:lpstr>
      <vt:lpstr>In Service Emissions</vt:lpstr>
      <vt:lpstr>Cold Start</vt:lpstr>
      <vt:lpstr>Objective Handling</vt:lpstr>
      <vt:lpstr>Penalties and Bonuses</vt:lpstr>
      <vt:lpstr>Vehicle Weights</vt:lpstr>
      <vt:lpstr>Bmax</vt:lpstr>
      <vt:lpstr>Bmin</vt:lpstr>
      <vt:lpstr>Emax</vt:lpstr>
      <vt:lpstr>Emin</vt:lpstr>
      <vt:lpstr>'Totals and Awards'!Print_Area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Meldrum</dc:creator>
  <cp:lastModifiedBy>Keweenaw Research Center</cp:lastModifiedBy>
  <cp:lastPrinted>2010-03-20T22:07:53Z</cp:lastPrinted>
  <dcterms:created xsi:type="dcterms:W3CDTF">2000-03-12T02:15:03Z</dcterms:created>
  <dcterms:modified xsi:type="dcterms:W3CDTF">2011-03-16T00:24:53Z</dcterms:modified>
</cp:coreProperties>
</file>